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F:\Resources\steward education and resources\Uof T materials\"/>
    </mc:Choice>
  </mc:AlternateContent>
  <xr:revisionPtr revIDLastSave="0" documentId="8_{B9E12B88-4177-476C-B3B2-00B6F39876B5}" xr6:coauthVersionLast="45" xr6:coauthVersionMax="45" xr10:uidLastSave="{00000000-0000-0000-0000-000000000000}"/>
  <bookViews>
    <workbookView xWindow="25080" yWindow="-120" windowWidth="25440" windowHeight="15390" tabRatio="418" xr2:uid="{00000000-000D-0000-FFFF-FFFF00000000}"/>
  </bookViews>
  <sheets>
    <sheet name="Summary" sheetId="4" r:id="rId1"/>
    <sheet name="Health Plans" sheetId="1" r:id="rId2"/>
    <sheet name="Joint Membership" sheetId="2" r:id="rId3"/>
    <sheet name="Salary Related" sheetId="3" r:id="rId4"/>
    <sheet name="Lookups" sheetId="5" r:id="rId5"/>
    <sheet name="Sheet1" sheetId="6" r:id="rId6"/>
    <sheet name="Sheet2" sheetId="7" r:id="rId7"/>
  </sheets>
  <definedNames>
    <definedName name="_xlnm.Print_Area" localSheetId="3">'Salary Related'!$A$1:$M$32</definedName>
    <definedName name="_xlnm.Print_Area" localSheetId="0">Summary!$A$1:$I$38</definedName>
    <definedName name="rates">Lookups!$A$3:$W$34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13" i="5" l="1"/>
  <c r="E44" i="4" l="1"/>
  <c r="G12" i="2" l="1"/>
  <c r="F12" i="2"/>
  <c r="D13" i="2" l="1"/>
  <c r="E13" i="2"/>
  <c r="E4" i="3"/>
  <c r="R13" i="5" s="1"/>
  <c r="W3" i="5"/>
  <c r="W4" i="5"/>
  <c r="W5" i="5"/>
  <c r="W6" i="5"/>
  <c r="W7" i="5"/>
  <c r="W8" i="5"/>
  <c r="W9" i="5"/>
  <c r="W10" i="5"/>
  <c r="W11" i="5"/>
  <c r="W12" i="5"/>
  <c r="W14" i="5"/>
  <c r="W15" i="5"/>
  <c r="W16" i="5"/>
  <c r="W17" i="5"/>
  <c r="W18" i="5"/>
  <c r="W19" i="5"/>
  <c r="W20" i="5"/>
  <c r="W21" i="5"/>
  <c r="F13" i="2" l="1"/>
  <c r="O11" i="3"/>
  <c r="G15" i="2" l="1"/>
  <c r="G21" i="2"/>
  <c r="G18" i="2"/>
  <c r="G9" i="2"/>
  <c r="E46" i="4"/>
  <c r="E47" i="4"/>
  <c r="E45" i="4"/>
  <c r="E43" i="4"/>
  <c r="F15" i="2" l="1"/>
  <c r="D16" i="2" l="1"/>
  <c r="E16" i="2"/>
  <c r="F16" i="2" l="1"/>
  <c r="E22" i="1" l="1"/>
  <c r="D20" i="1"/>
  <c r="D26" i="1" l="1"/>
  <c r="E28" i="1"/>
  <c r="E16" i="1" l="1"/>
  <c r="D14" i="1"/>
  <c r="E10" i="1" l="1"/>
  <c r="D8" i="1"/>
  <c r="A55" i="4" l="1"/>
  <c r="A53" i="4"/>
  <c r="R20" i="5" l="1"/>
  <c r="R18" i="5"/>
  <c r="R16" i="5"/>
  <c r="R14" i="5"/>
  <c r="R11" i="5"/>
  <c r="R9" i="5"/>
  <c r="R7" i="5"/>
  <c r="R4" i="5"/>
  <c r="R21" i="5"/>
  <c r="R19" i="5"/>
  <c r="R17" i="5"/>
  <c r="R15" i="5"/>
  <c r="R12" i="5"/>
  <c r="R10" i="5"/>
  <c r="R8" i="5"/>
  <c r="R6" i="5"/>
  <c r="R3" i="5"/>
  <c r="R5" i="5"/>
  <c r="L4" i="3"/>
  <c r="G24" i="3" s="1"/>
  <c r="G22" i="1"/>
  <c r="D10" i="1"/>
  <c r="I6" i="1"/>
  <c r="D16" i="1"/>
  <c r="D25" i="1"/>
  <c r="G28" i="1" s="1"/>
  <c r="G10" i="1"/>
  <c r="G16" i="1"/>
  <c r="A58" i="4"/>
  <c r="G20" i="1"/>
  <c r="E14" i="1"/>
  <c r="E20" i="1"/>
  <c r="G26" i="1"/>
  <c r="G8" i="1"/>
  <c r="G14" i="1"/>
  <c r="E8" i="1"/>
  <c r="D22" i="1"/>
  <c r="A57" i="4"/>
  <c r="A56" i="4"/>
  <c r="A51" i="4"/>
  <c r="A43" i="4"/>
  <c r="A44" i="4"/>
  <c r="A45" i="4"/>
  <c r="A46" i="4"/>
  <c r="A47" i="4"/>
  <c r="A48" i="4"/>
  <c r="A49" i="4"/>
  <c r="A50" i="4"/>
  <c r="A52" i="4"/>
  <c r="A54" i="4"/>
  <c r="E26" i="1"/>
  <c r="D28" i="1"/>
  <c r="G20" i="3"/>
  <c r="F20" i="3" s="1"/>
  <c r="G14" i="3"/>
  <c r="F14" i="3" s="1"/>
  <c r="R22" i="3"/>
  <c r="I14" i="3"/>
  <c r="G18" i="3"/>
  <c r="F18" i="3" s="1"/>
  <c r="H18" i="3" s="1"/>
  <c r="G16" i="3"/>
  <c r="F16" i="3" s="1"/>
  <c r="H16" i="3" s="1"/>
  <c r="O16" i="3"/>
  <c r="D6" i="1"/>
  <c r="B10" i="1"/>
  <c r="B16" i="1"/>
  <c r="I6" i="2"/>
  <c r="F21" i="2"/>
  <c r="E22" i="2" s="1"/>
  <c r="F18" i="2"/>
  <c r="D19" i="2" s="1"/>
  <c r="F9" i="2"/>
  <c r="E10" i="2" s="1"/>
  <c r="O22" i="3"/>
  <c r="O20" i="3"/>
  <c r="O18" i="3"/>
  <c r="O14" i="3"/>
  <c r="F11" i="3"/>
  <c r="J11" i="3" s="1"/>
  <c r="G9" i="3"/>
  <c r="I24" i="3"/>
  <c r="I22" i="3"/>
  <c r="I20" i="3"/>
  <c r="J20" i="3" s="1"/>
  <c r="I18" i="3"/>
  <c r="I16" i="3"/>
  <c r="I9" i="3"/>
  <c r="K11" i="3"/>
  <c r="D8" i="4"/>
  <c r="H9" i="2" l="1"/>
  <c r="E24" i="4" s="1"/>
  <c r="H12" i="2"/>
  <c r="J16" i="3"/>
  <c r="H21" i="2"/>
  <c r="H15" i="2"/>
  <c r="E19" i="2"/>
  <c r="F19" i="2" s="1"/>
  <c r="F9" i="3"/>
  <c r="J9" i="3" s="1"/>
  <c r="E25" i="4" s="1"/>
  <c r="J18" i="3"/>
  <c r="F24" i="3"/>
  <c r="J24" i="3" s="1"/>
  <c r="E27" i="4" s="1"/>
  <c r="K24" i="3"/>
  <c r="F27" i="4" s="1"/>
  <c r="D10" i="2"/>
  <c r="F10" i="2" s="1"/>
  <c r="K16" i="3"/>
  <c r="H18" i="2"/>
  <c r="I18" i="2" s="1"/>
  <c r="K20" i="3"/>
  <c r="L20" i="3" s="1"/>
  <c r="H23" i="2"/>
  <c r="K9" i="3"/>
  <c r="K14" i="3"/>
  <c r="D22" i="2"/>
  <c r="F22" i="2" s="1"/>
  <c r="F26" i="1"/>
  <c r="H26" i="1" s="1"/>
  <c r="I26" i="1" s="1"/>
  <c r="F8" i="1"/>
  <c r="H8" i="1" s="1"/>
  <c r="I8" i="1" s="1"/>
  <c r="J8" i="1" s="1"/>
  <c r="H11" i="1" s="1"/>
  <c r="I11" i="1" s="1"/>
  <c r="F22" i="1"/>
  <c r="H22" i="1" s="1"/>
  <c r="F10" i="1"/>
  <c r="H10" i="1" s="1"/>
  <c r="F28" i="1"/>
  <c r="H28" i="1" s="1"/>
  <c r="I28" i="1" s="1"/>
  <c r="F20" i="1"/>
  <c r="H20" i="1" s="1"/>
  <c r="I20" i="1" s="1"/>
  <c r="J20" i="1" s="1"/>
  <c r="F14" i="1"/>
  <c r="H14" i="1" s="1"/>
  <c r="I14" i="1" s="1"/>
  <c r="J14" i="1" s="1"/>
  <c r="H17" i="1" s="1"/>
  <c r="I17" i="1" s="1"/>
  <c r="F16" i="1"/>
  <c r="H16" i="1" s="1"/>
  <c r="I16" i="1" s="1"/>
  <c r="F22" i="3"/>
  <c r="J22" i="3" s="1"/>
  <c r="H20" i="3"/>
  <c r="H14" i="3"/>
  <c r="J14" i="3"/>
  <c r="L11" i="3"/>
  <c r="H11" i="3"/>
  <c r="G22" i="3"/>
  <c r="K22" i="3" s="1"/>
  <c r="K18" i="3"/>
  <c r="I12" i="2" l="1"/>
  <c r="J12" i="2" s="1"/>
  <c r="H13" i="2" s="1"/>
  <c r="I13" i="2" s="1"/>
  <c r="E26" i="4"/>
  <c r="I21" i="2"/>
  <c r="L22" i="3"/>
  <c r="J28" i="1"/>
  <c r="F23" i="4"/>
  <c r="H9" i="3"/>
  <c r="L16" i="3"/>
  <c r="I15" i="2"/>
  <c r="L18" i="3"/>
  <c r="I31" i="1"/>
  <c r="F26" i="4"/>
  <c r="E22" i="4"/>
  <c r="H31" i="1"/>
  <c r="L9" i="3"/>
  <c r="G25" i="4" s="1"/>
  <c r="F25" i="4"/>
  <c r="H24" i="3"/>
  <c r="L14" i="3"/>
  <c r="J18" i="2"/>
  <c r="H19" i="2" s="1"/>
  <c r="I19" i="2" s="1"/>
  <c r="I9" i="2"/>
  <c r="K25" i="3"/>
  <c r="E23" i="4"/>
  <c r="L24" i="3"/>
  <c r="G27" i="4" s="1"/>
  <c r="H33" i="1"/>
  <c r="E20" i="4"/>
  <c r="I10" i="1"/>
  <c r="F20" i="4" s="1"/>
  <c r="E21" i="4"/>
  <c r="I22" i="1"/>
  <c r="J22" i="1" s="1"/>
  <c r="H23" i="1" s="1"/>
  <c r="I23" i="1" s="1"/>
  <c r="J26" i="1"/>
  <c r="H29" i="1" s="1"/>
  <c r="J16" i="1"/>
  <c r="F21" i="4"/>
  <c r="H22" i="3"/>
  <c r="J25" i="3"/>
  <c r="I23" i="2" l="1"/>
  <c r="F24" i="4"/>
  <c r="J21" i="2"/>
  <c r="H22" i="2" s="1"/>
  <c r="I22" i="2" s="1"/>
  <c r="G26" i="4"/>
  <c r="J15" i="2"/>
  <c r="J31" i="1"/>
  <c r="H35" i="1"/>
  <c r="J23" i="2"/>
  <c r="J9" i="2"/>
  <c r="L25" i="3"/>
  <c r="G23" i="4"/>
  <c r="G21" i="4"/>
  <c r="E28" i="4"/>
  <c r="E29" i="4" s="1"/>
  <c r="G20" i="4"/>
  <c r="J10" i="1"/>
  <c r="I33" i="1"/>
  <c r="J33" i="1" s="1"/>
  <c r="F22" i="4"/>
  <c r="G22" i="4" s="1"/>
  <c r="J29" i="1"/>
  <c r="I29" i="1" s="1"/>
  <c r="H10" i="2" l="1"/>
  <c r="I10" i="2" s="1"/>
  <c r="G24" i="4"/>
  <c r="G28" i="4"/>
  <c r="G29" i="4" s="1"/>
  <c r="H16" i="2"/>
  <c r="I16" i="2" s="1"/>
  <c r="J35" i="1"/>
  <c r="F28" i="4"/>
  <c r="F29" i="4" s="1"/>
  <c r="I3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newtonke</author>
  </authors>
  <commentList>
    <comment ref="N14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newtonke: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R24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newtonke:</t>
        </r>
        <r>
          <rPr>
            <sz val="9"/>
            <color indexed="81"/>
            <rFont val="Tahoma"/>
            <family val="2"/>
          </rPr>
          <t xml:space="preserve">
not in use, calculation taken from maximum in lookup table</t>
        </r>
      </text>
    </comment>
  </commentList>
</comments>
</file>

<file path=xl/sharedStrings.xml><?xml version="1.0" encoding="utf-8"?>
<sst xmlns="http://schemas.openxmlformats.org/spreadsheetml/2006/main" count="285" uniqueCount="128">
  <si>
    <t>Employer</t>
  </si>
  <si>
    <t>Employee</t>
  </si>
  <si>
    <t>Total</t>
  </si>
  <si>
    <t xml:space="preserve"> </t>
  </si>
  <si>
    <t>Single</t>
  </si>
  <si>
    <t>Family</t>
  </si>
  <si>
    <t>Group Health Plans</t>
  </si>
  <si>
    <t>100 % Appointment</t>
  </si>
  <si>
    <t>% Time=</t>
  </si>
  <si>
    <t>ER</t>
  </si>
  <si>
    <t>EE</t>
  </si>
  <si>
    <t>EHC</t>
  </si>
  <si>
    <t>Subsidy</t>
  </si>
  <si>
    <t>Dental</t>
  </si>
  <si>
    <t>Semi-Private</t>
  </si>
  <si>
    <t>Vision Care</t>
  </si>
  <si>
    <t>Joint Membership</t>
  </si>
  <si>
    <t xml:space="preserve">EE </t>
  </si>
  <si>
    <t xml:space="preserve">Long Term Disability </t>
  </si>
  <si>
    <t>per $1,000 
/ month</t>
  </si>
  <si>
    <t>Group Life - Optional</t>
  </si>
  <si>
    <t>1 Times</t>
  </si>
  <si>
    <t>2 Times</t>
  </si>
  <si>
    <t>3 Times</t>
  </si>
  <si>
    <t xml:space="preserve"> SIB</t>
  </si>
  <si>
    <t xml:space="preserve"> 1 Times +SIB</t>
  </si>
  <si>
    <t>Pension</t>
  </si>
  <si>
    <t>Election</t>
  </si>
  <si>
    <t>Election 
Option</t>
  </si>
  <si>
    <t>YMPE</t>
  </si>
  <si>
    <t>Max Sal</t>
  </si>
  <si>
    <t>Plan</t>
  </si>
  <si>
    <t>OR</t>
  </si>
  <si>
    <t>Percent Time</t>
  </si>
  <si>
    <t>Plans</t>
  </si>
  <si>
    <t>Medical/Dental</t>
  </si>
  <si>
    <t>LTD</t>
  </si>
  <si>
    <t>Group Life</t>
  </si>
  <si>
    <t>Percent time appointment</t>
  </si>
  <si>
    <t xml:space="preserve"> (part-time appointment)</t>
  </si>
  <si>
    <t xml:space="preserve">      Plan Type</t>
  </si>
  <si>
    <t>Prepared for:</t>
  </si>
  <si>
    <t>Prepared by:</t>
  </si>
  <si>
    <t>Date Prepared:</t>
  </si>
  <si>
    <t xml:space="preserve">   Monthly Cost Summary - based on benefits elected</t>
  </si>
  <si>
    <t xml:space="preserve">Coverage </t>
  </si>
  <si>
    <t>Annual Salary:</t>
  </si>
  <si>
    <t xml:space="preserve"> (eg - a 50 % part-time employee earning $2,000/month is entered at $24,000 annual salary)</t>
  </si>
  <si>
    <t>Group Life - Basic (mandatory)</t>
  </si>
  <si>
    <t>Total Monthly Cost - For Plans Elected</t>
  </si>
  <si>
    <t>Total Monthly Cost for Joint Plan Elected</t>
  </si>
  <si>
    <t>Total Monthly Cost - for Plans Elected</t>
  </si>
  <si>
    <t xml:space="preserve">         Costs are estimates only and may vary slightly due to rounding.  Actual deductions are calculated through HRIS/Payroll system.</t>
  </si>
  <si>
    <t xml:space="preserve">         The ER costs are based on benefits elected.  However, for budgeting purposes, the ER Standard Benefit Rate for appointed staff is billed to departments</t>
  </si>
  <si>
    <t xml:space="preserve">           However, official premium rates and taxes govern final deductions.  </t>
  </si>
  <si>
    <t xml:space="preserve">DISCLAIMER:    Every effort is made to ensure the accuracy of information on this Benefits Cost Calculator.  </t>
  </si>
  <si>
    <t>Plan B -U of T at Scarb</t>
  </si>
  <si>
    <t>Enroll</t>
  </si>
  <si>
    <t xml:space="preserve">Note: </t>
  </si>
  <si>
    <t xml:space="preserve">Actual Salary: </t>
  </si>
  <si>
    <t>(actual salary for 12 months)</t>
  </si>
  <si>
    <t>Annualized Salary for Pension:</t>
  </si>
  <si>
    <t>* Total Excluding Pension Contributions</t>
  </si>
  <si>
    <t>% Time</t>
  </si>
  <si>
    <t>rate factor LTD - EE/month per $100</t>
  </si>
  <si>
    <t>Note:</t>
  </si>
  <si>
    <t xml:space="preserve">Calculator to Estimate Monthly Employee/Employer Cost of  JMP </t>
  </si>
  <si>
    <t>Total Life</t>
  </si>
  <si>
    <t>(excludes legislated benefits)</t>
  </si>
  <si>
    <t xml:space="preserve">Calculator to Estimate Monthly Cost of Salary Related Benefits For Members </t>
  </si>
  <si>
    <t xml:space="preserve">Calculator to Estimate Employee/Employer Cost of  Health Plans and Vision </t>
  </si>
  <si>
    <t>Faculty/Librarian</t>
  </si>
  <si>
    <t>Group</t>
  </si>
  <si>
    <t>singleEE</t>
  </si>
  <si>
    <t>familyEE</t>
  </si>
  <si>
    <t>singleER</t>
  </si>
  <si>
    <t>familyER</t>
  </si>
  <si>
    <t>N/A</t>
  </si>
  <si>
    <t>Confidential</t>
  </si>
  <si>
    <t>PM1-5</t>
  </si>
  <si>
    <t>USW</t>
  </si>
  <si>
    <t>Other Unions</t>
  </si>
  <si>
    <t>Employee Groups</t>
  </si>
  <si>
    <t>CUPE L2484</t>
  </si>
  <si>
    <t>Research Associates</t>
  </si>
  <si>
    <t>ESL Instructors (old plan)</t>
  </si>
  <si>
    <t>Benefits and Pension</t>
  </si>
  <si>
    <t>KN</t>
  </si>
  <si>
    <t>EE below</t>
  </si>
  <si>
    <t>EE Above</t>
  </si>
  <si>
    <t>Vision &amp; EHC rates updated for USW and CUPE 3261 full time/part time effective June 1, 2015</t>
  </si>
  <si>
    <t>EHC &amp; Vision to be updated effective June 1, 2016 (same cost as USW)</t>
  </si>
  <si>
    <t xml:space="preserve">F/L, RA's&amp; SRA pensionable salary to 161,000 maximum </t>
  </si>
  <si>
    <t>Ceiling</t>
  </si>
  <si>
    <t>LTD addnl ER</t>
  </si>
  <si>
    <t xml:space="preserve">LTD = 80/20 split therefore the factor is multiplied by 4 </t>
  </si>
  <si>
    <t xml:space="preserve">formula in column R is set up to calculate the ER only paid difference for salary over 125K up to 150K </t>
  </si>
  <si>
    <t>Plan A -UTSC</t>
  </si>
  <si>
    <t>Reject</t>
  </si>
  <si>
    <t>Plan B - U of T at Miss</t>
  </si>
  <si>
    <t>Max EE Pen formula</t>
  </si>
  <si>
    <t xml:space="preserve">   </t>
  </si>
  <si>
    <t>Exempt</t>
  </si>
  <si>
    <t xml:space="preserve">           Eligibility for enrolment is governed by collective agreements, policies and plan documents</t>
  </si>
  <si>
    <t>The EHC, Dental, Semi-Private and Vision plans are prepaid by one month</t>
  </si>
  <si>
    <t xml:space="preserve">    - calculated at 11.96% for faculty/librarian and for SRA's &amp; RA's and 12.55% for other employee groups</t>
  </si>
  <si>
    <t>Test</t>
  </si>
  <si>
    <t>Plan A - UTM</t>
  </si>
  <si>
    <t xml:space="preserve">Plan A - St George </t>
  </si>
  <si>
    <t>PM6-11</t>
  </si>
  <si>
    <t>CUPE L3261F/T - Service Workers</t>
  </si>
  <si>
    <t>CUPE L3261P/T - Service Workers</t>
  </si>
  <si>
    <t xml:space="preserve">IBEW L353 - Machinists </t>
  </si>
  <si>
    <t>CUPE L3261 - 89 Chestnut - Hospitality workers</t>
  </si>
  <si>
    <t>IBEW L353 - Locksmiths</t>
  </si>
  <si>
    <t>OPSEU 519 - Campus Police</t>
  </si>
  <si>
    <t>OPSEU 578 - OISE Research Officers &amp; Associates</t>
  </si>
  <si>
    <t>IBEW L353 - Electricians</t>
  </si>
  <si>
    <t>CUPE L1230F/T - PT - Library Workers</t>
  </si>
  <si>
    <t>UNIFOR L2003</t>
  </si>
  <si>
    <t>1X Optional</t>
  </si>
  <si>
    <t>Summary of Estimated Total Benefits Cost 2020/21(excludes legislated benefits)</t>
  </si>
  <si>
    <t xml:space="preserve">         Premium Rates are for 2020/2021 plan year and include all applicable taxes</t>
  </si>
  <si>
    <t>at 23.5 % of salary paid which includes centrally funded benefit programs and legislative contributions</t>
  </si>
  <si>
    <t>Last updated June 20, 2020</t>
  </si>
  <si>
    <t>Updated July, 2020</t>
  </si>
  <si>
    <t>ER pension as of July 1 2020</t>
  </si>
  <si>
    <t>YMPE at $58,700 for 2020/21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</si>
</sst>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&quot;$&quot;#,##0.00_);[Red]\(&quot;$&quot;#,##0.00\)"/>
    <numFmt numFmtId="165" formatCode="_ &quot;$&quot;* #,##0.00_ ;_ &quot;$&quot;* \-#,##0.00_ ;_ &quot;$&quot;* &quot;-&quot;??_ ;_ @_ "/>
    <numFmt numFmtId="166" formatCode="[$$-1009]#,##0.00"/>
    <numFmt numFmtId="167" formatCode="0.0%"/>
    <numFmt numFmtId="168" formatCode="&quot;$&quot;#,##0.00"/>
    <numFmt numFmtId="169" formatCode="0.0000"/>
    <numFmt numFmtId="170" formatCode="0.00000"/>
    <numFmt numFmtId="171" formatCode="mmmm\ d\,\ yyyy"/>
  </numFmts>
  <fonts count="64" x14ac:knownFonts="1">
    <font>
      <sz val="10"/>
      <name val="Arial"/>
    </font>
    <font>
      <sz val="10"/>
      <name val="Arial"/>
      <family val="2"/>
    </font>
    <font>
      <b/>
      <i/>
      <sz val="16"/>
      <color indexed="17"/>
      <name val="Arial Narrow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0"/>
      <color indexed="48"/>
      <name val="Arial"/>
      <family val="2"/>
    </font>
    <font>
      <b/>
      <sz val="10"/>
      <color indexed="48"/>
      <name val="Arial"/>
      <family val="2"/>
    </font>
    <font>
      <i/>
      <sz val="9"/>
      <name val="Arial"/>
      <family val="2"/>
    </font>
    <font>
      <b/>
      <i/>
      <sz val="12"/>
      <name val="Arial"/>
      <family val="2"/>
    </font>
    <font>
      <b/>
      <i/>
      <sz val="12"/>
      <color indexed="57"/>
      <name val="Arial"/>
      <family val="2"/>
    </font>
    <font>
      <b/>
      <i/>
      <sz val="12"/>
      <color indexed="17"/>
      <name val="Arial"/>
      <family val="2"/>
    </font>
    <font>
      <b/>
      <i/>
      <sz val="16"/>
      <color indexed="17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57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i/>
      <sz val="11"/>
      <color indexed="8"/>
      <name val="Arial"/>
      <family val="2"/>
    </font>
    <font>
      <sz val="11"/>
      <color indexed="52"/>
      <name val="Arial"/>
      <family val="2"/>
    </font>
    <font>
      <b/>
      <sz val="11"/>
      <color indexed="10"/>
      <name val="Arial"/>
      <family val="2"/>
    </font>
    <font>
      <sz val="11"/>
      <color indexed="8"/>
      <name val="Arial"/>
      <family val="2"/>
    </font>
    <font>
      <sz val="12"/>
      <color indexed="52"/>
      <name val="Arial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  <font>
      <i/>
      <u/>
      <sz val="10"/>
      <color indexed="48"/>
      <name val="Arial"/>
      <family val="2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b/>
      <sz val="11"/>
      <name val="Arial"/>
      <family val="2"/>
    </font>
    <font>
      <b/>
      <sz val="11"/>
      <color indexed="17"/>
      <name val="Arial"/>
      <family val="2"/>
    </font>
    <font>
      <sz val="11"/>
      <color indexed="17"/>
      <name val="Arial"/>
      <family val="2"/>
    </font>
    <font>
      <b/>
      <sz val="11"/>
      <color indexed="48"/>
      <name val="Arial"/>
      <family val="2"/>
    </font>
    <font>
      <sz val="11"/>
      <color indexed="48"/>
      <name val="Arial"/>
      <family val="2"/>
    </font>
    <font>
      <b/>
      <sz val="11"/>
      <color indexed="8"/>
      <name val="Arial"/>
      <family val="2"/>
    </font>
    <font>
      <b/>
      <i/>
      <sz val="11"/>
      <color indexed="17"/>
      <name val="Arial"/>
      <family val="2"/>
    </font>
    <font>
      <sz val="12"/>
      <color indexed="16"/>
      <name val="Arial"/>
      <family val="2"/>
    </font>
    <font>
      <i/>
      <sz val="11"/>
      <name val="Arial"/>
      <family val="2"/>
    </font>
    <font>
      <sz val="11"/>
      <color indexed="10"/>
      <name val="Arial"/>
      <family val="2"/>
    </font>
    <font>
      <b/>
      <i/>
      <sz val="10"/>
      <color indexed="17"/>
      <name val="Arial"/>
      <family val="2"/>
    </font>
    <font>
      <b/>
      <i/>
      <sz val="10"/>
      <color indexed="8"/>
      <name val="Arial"/>
      <family val="2"/>
    </font>
    <font>
      <b/>
      <i/>
      <sz val="14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57"/>
      <name val="Arial"/>
      <family val="2"/>
    </font>
    <font>
      <b/>
      <sz val="9"/>
      <name val="Arial"/>
      <family val="2"/>
    </font>
    <font>
      <sz val="7"/>
      <color indexed="10"/>
      <name val="Arial"/>
      <family val="2"/>
    </font>
    <font>
      <b/>
      <i/>
      <sz val="14"/>
      <color indexed="17"/>
      <name val="Arial Narrow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17"/>
      </left>
      <right style="thin">
        <color indexed="17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17"/>
      </left>
      <right style="thin">
        <color indexed="17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medium">
        <color indexed="17"/>
      </left>
      <right style="medium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17"/>
      </left>
      <right style="thin">
        <color indexed="17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7">
    <xf numFmtId="0" fontId="0" fillId="0" borderId="0" xfId="0"/>
    <xf numFmtId="0" fontId="2" fillId="0" borderId="0" xfId="0" applyFont="1" applyAlignment="1" applyProtection="1">
      <alignment vertical="top"/>
      <protection hidden="1"/>
    </xf>
    <xf numFmtId="0" fontId="0" fillId="0" borderId="0" xfId="0" applyAlignment="1" applyProtection="1">
      <alignment vertical="top"/>
      <protection hidden="1"/>
    </xf>
    <xf numFmtId="0" fontId="0" fillId="0" borderId="0" xfId="0" applyProtection="1">
      <protection hidden="1"/>
    </xf>
    <xf numFmtId="0" fontId="5" fillId="0" borderId="0" xfId="0" applyFont="1" applyProtection="1">
      <protection hidden="1"/>
    </xf>
    <xf numFmtId="0" fontId="6" fillId="0" borderId="0" xfId="0" applyFont="1" applyProtection="1">
      <protection hidden="1"/>
    </xf>
    <xf numFmtId="0" fontId="7" fillId="0" borderId="0" xfId="0" applyFont="1" applyAlignment="1" applyProtection="1">
      <alignment horizontal="center"/>
      <protection hidden="1"/>
    </xf>
    <xf numFmtId="0" fontId="7" fillId="0" borderId="0" xfId="0" applyFont="1" applyProtection="1">
      <protection hidden="1"/>
    </xf>
    <xf numFmtId="1" fontId="11" fillId="0" borderId="0" xfId="0" applyNumberFormat="1" applyFont="1" applyBorder="1" applyAlignment="1" applyProtection="1">
      <alignment horizontal="center"/>
      <protection hidden="1"/>
    </xf>
    <xf numFmtId="1" fontId="11" fillId="0" borderId="1" xfId="0" applyNumberFormat="1" applyFont="1" applyBorder="1" applyAlignment="1" applyProtection="1">
      <alignment horizontal="center"/>
      <protection hidden="1"/>
    </xf>
    <xf numFmtId="0" fontId="9" fillId="0" borderId="0" xfId="0" applyFont="1" applyAlignment="1" applyProtection="1">
      <alignment wrapText="1"/>
      <protection hidden="1"/>
    </xf>
    <xf numFmtId="0" fontId="0" fillId="0" borderId="0" xfId="0" applyAlignment="1" applyProtection="1">
      <alignment horizontal="center"/>
      <protection hidden="1"/>
    </xf>
    <xf numFmtId="0" fontId="18" fillId="0" borderId="0" xfId="0" applyFont="1" applyProtection="1">
      <protection hidden="1"/>
    </xf>
    <xf numFmtId="1" fontId="0" fillId="0" borderId="0" xfId="0" applyNumberFormat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 wrapText="1"/>
      <protection hidden="1"/>
    </xf>
    <xf numFmtId="0" fontId="8" fillId="0" borderId="0" xfId="0" applyFont="1" applyProtection="1">
      <protection hidden="1"/>
    </xf>
    <xf numFmtId="1" fontId="0" fillId="0" borderId="0" xfId="0" applyNumberFormat="1" applyProtection="1">
      <protection hidden="1"/>
    </xf>
    <xf numFmtId="0" fontId="11" fillId="0" borderId="0" xfId="0" applyFont="1" applyProtection="1">
      <protection hidden="1"/>
    </xf>
    <xf numFmtId="0" fontId="15" fillId="0" borderId="0" xfId="0" applyFont="1" applyAlignment="1" applyProtection="1">
      <alignment horizontal="right"/>
      <protection hidden="1"/>
    </xf>
    <xf numFmtId="165" fontId="0" fillId="0" borderId="0" xfId="1" applyFont="1" applyProtection="1">
      <protection hidden="1"/>
    </xf>
    <xf numFmtId="170" fontId="0" fillId="0" borderId="0" xfId="0" applyNumberFormat="1" applyProtection="1">
      <protection hidden="1"/>
    </xf>
    <xf numFmtId="0" fontId="8" fillId="0" borderId="0" xfId="0" applyFont="1" applyAlignment="1" applyProtection="1">
      <alignment horizontal="right"/>
      <protection hidden="1"/>
    </xf>
    <xf numFmtId="0" fontId="10" fillId="0" borderId="0" xfId="0" applyFont="1" applyProtection="1">
      <protection hidden="1"/>
    </xf>
    <xf numFmtId="0" fontId="21" fillId="0" borderId="0" xfId="0" applyFont="1" applyProtection="1">
      <protection hidden="1"/>
    </xf>
    <xf numFmtId="0" fontId="16" fillId="2" borderId="2" xfId="0" applyFont="1" applyFill="1" applyBorder="1" applyAlignment="1" applyProtection="1">
      <alignment horizontal="center"/>
      <protection hidden="1"/>
    </xf>
    <xf numFmtId="166" fontId="16" fillId="2" borderId="3" xfId="1" applyNumberFormat="1" applyFont="1" applyFill="1" applyBorder="1" applyAlignment="1" applyProtection="1">
      <alignment horizontal="center"/>
      <protection hidden="1"/>
    </xf>
    <xf numFmtId="0" fontId="15" fillId="0" borderId="2" xfId="0" applyFont="1" applyFill="1" applyBorder="1" applyProtection="1">
      <protection hidden="1"/>
    </xf>
    <xf numFmtId="0" fontId="15" fillId="0" borderId="1" xfId="0" applyFont="1" applyFill="1" applyBorder="1" applyAlignment="1" applyProtection="1">
      <alignment horizontal="left"/>
      <protection hidden="1"/>
    </xf>
    <xf numFmtId="0" fontId="15" fillId="0" borderId="4" xfId="0" applyFont="1" applyFill="1" applyBorder="1" applyProtection="1">
      <protection hidden="1"/>
    </xf>
    <xf numFmtId="0" fontId="15" fillId="0" borderId="1" xfId="0" applyFont="1" applyFill="1" applyBorder="1" applyProtection="1">
      <protection hidden="1"/>
    </xf>
    <xf numFmtId="0" fontId="15" fillId="0" borderId="5" xfId="0" applyFont="1" applyFill="1" applyBorder="1" applyAlignment="1" applyProtection="1">
      <alignment horizontal="center"/>
      <protection hidden="1"/>
    </xf>
    <xf numFmtId="0" fontId="15" fillId="0" borderId="6" xfId="0" applyFont="1" applyFill="1" applyBorder="1" applyProtection="1">
      <protection hidden="1"/>
    </xf>
    <xf numFmtId="0" fontId="15" fillId="0" borderId="0" xfId="0" applyFont="1" applyFill="1" applyBorder="1" applyProtection="1">
      <protection hidden="1"/>
    </xf>
    <xf numFmtId="166" fontId="15" fillId="0" borderId="7" xfId="1" applyNumberFormat="1" applyFont="1" applyFill="1" applyBorder="1" applyAlignment="1" applyProtection="1">
      <alignment horizontal="center"/>
      <protection hidden="1"/>
    </xf>
    <xf numFmtId="0" fontId="26" fillId="0" borderId="1" xfId="0" applyFont="1" applyBorder="1" applyProtection="1">
      <protection hidden="1"/>
    </xf>
    <xf numFmtId="0" fontId="26" fillId="0" borderId="8" xfId="0" applyFont="1" applyBorder="1" applyProtection="1">
      <protection hidden="1"/>
    </xf>
    <xf numFmtId="0" fontId="26" fillId="0" borderId="9" xfId="0" applyFont="1" applyBorder="1" applyProtection="1">
      <protection hidden="1"/>
    </xf>
    <xf numFmtId="0" fontId="26" fillId="0" borderId="10" xfId="0" applyFont="1" applyBorder="1" applyProtection="1">
      <protection hidden="1"/>
    </xf>
    <xf numFmtId="0" fontId="26" fillId="0" borderId="0" xfId="0" applyFont="1" applyBorder="1" applyProtection="1">
      <protection hidden="1"/>
    </xf>
    <xf numFmtId="0" fontId="15" fillId="0" borderId="4" xfId="0" applyFont="1" applyBorder="1" applyProtection="1">
      <protection hidden="1"/>
    </xf>
    <xf numFmtId="0" fontId="11" fillId="0" borderId="1" xfId="0" applyFont="1" applyBorder="1" applyProtection="1">
      <protection hidden="1"/>
    </xf>
    <xf numFmtId="0" fontId="11" fillId="0" borderId="8" xfId="0" applyFont="1" applyBorder="1" applyAlignment="1" applyProtection="1">
      <alignment horizontal="center"/>
      <protection hidden="1"/>
    </xf>
    <xf numFmtId="0" fontId="15" fillId="0" borderId="1" xfId="0" applyFont="1" applyBorder="1" applyAlignment="1" applyProtection="1">
      <alignment horizontal="center"/>
      <protection hidden="1"/>
    </xf>
    <xf numFmtId="1" fontId="15" fillId="0" borderId="1" xfId="0" applyNumberFormat="1" applyFont="1" applyBorder="1" applyAlignment="1" applyProtection="1">
      <alignment horizontal="center" wrapText="1"/>
      <protection hidden="1"/>
    </xf>
    <xf numFmtId="166" fontId="15" fillId="0" borderId="2" xfId="0" applyNumberFormat="1" applyFont="1" applyBorder="1" applyAlignment="1" applyProtection="1">
      <alignment horizontal="center" wrapText="1"/>
      <protection hidden="1"/>
    </xf>
    <xf numFmtId="166" fontId="15" fillId="0" borderId="6" xfId="0" applyNumberFormat="1" applyFont="1" applyBorder="1" applyAlignment="1" applyProtection="1">
      <alignment horizontal="center" wrapText="1"/>
      <protection hidden="1"/>
    </xf>
    <xf numFmtId="166" fontId="19" fillId="0" borderId="7" xfId="0" applyNumberFormat="1" applyFont="1" applyFill="1" applyBorder="1" applyAlignment="1" applyProtection="1">
      <alignment horizontal="center" wrapText="1"/>
      <protection hidden="1"/>
    </xf>
    <xf numFmtId="0" fontId="15" fillId="0" borderId="4" xfId="0" applyFont="1" applyBorder="1" applyAlignment="1" applyProtection="1">
      <alignment horizontal="left"/>
      <protection hidden="1"/>
    </xf>
    <xf numFmtId="0" fontId="11" fillId="0" borderId="8" xfId="0" applyFont="1" applyBorder="1" applyProtection="1">
      <protection hidden="1"/>
    </xf>
    <xf numFmtId="166" fontId="11" fillId="0" borderId="4" xfId="1" applyNumberFormat="1" applyFont="1" applyBorder="1" applyAlignment="1" applyProtection="1">
      <alignment horizontal="center"/>
      <protection hidden="1"/>
    </xf>
    <xf numFmtId="166" fontId="31" fillId="0" borderId="8" xfId="1" applyNumberFormat="1" applyFont="1" applyBorder="1" applyAlignment="1" applyProtection="1">
      <alignment horizontal="center"/>
      <protection hidden="1"/>
    </xf>
    <xf numFmtId="166" fontId="11" fillId="0" borderId="11" xfId="1" applyNumberFormat="1" applyFont="1" applyBorder="1" applyAlignment="1" applyProtection="1">
      <alignment horizontal="center"/>
      <protection hidden="1"/>
    </xf>
    <xf numFmtId="166" fontId="20" fillId="0" borderId="11" xfId="1" applyNumberFormat="1" applyFont="1" applyFill="1" applyBorder="1" applyAlignment="1" applyProtection="1">
      <alignment horizontal="center"/>
      <protection hidden="1"/>
    </xf>
    <xf numFmtId="0" fontId="15" fillId="0" borderId="12" xfId="0" applyFont="1" applyBorder="1" applyAlignment="1" applyProtection="1">
      <alignment horizontal="left"/>
      <protection hidden="1"/>
    </xf>
    <xf numFmtId="0" fontId="11" fillId="0" borderId="9" xfId="0" applyFont="1" applyBorder="1" applyProtection="1">
      <protection hidden="1"/>
    </xf>
    <xf numFmtId="0" fontId="11" fillId="0" borderId="10" xfId="0" applyFont="1" applyBorder="1" applyProtection="1">
      <protection hidden="1"/>
    </xf>
    <xf numFmtId="166" fontId="11" fillId="0" borderId="12" xfId="0" applyNumberFormat="1" applyFont="1" applyBorder="1" applyAlignment="1" applyProtection="1">
      <alignment horizontal="center"/>
      <protection hidden="1"/>
    </xf>
    <xf numFmtId="166" fontId="11" fillId="0" borderId="10" xfId="0" applyNumberFormat="1" applyFont="1" applyBorder="1" applyAlignment="1" applyProtection="1">
      <alignment horizontal="center"/>
      <protection hidden="1"/>
    </xf>
    <xf numFmtId="166" fontId="11" fillId="0" borderId="13" xfId="0" applyNumberFormat="1" applyFont="1" applyBorder="1" applyAlignment="1" applyProtection="1">
      <alignment horizontal="center"/>
      <protection hidden="1"/>
    </xf>
    <xf numFmtId="1" fontId="11" fillId="0" borderId="9" xfId="0" applyNumberFormat="1" applyFont="1" applyBorder="1" applyAlignment="1" applyProtection="1">
      <alignment horizontal="center"/>
      <protection hidden="1"/>
    </xf>
    <xf numFmtId="166" fontId="20" fillId="0" borderId="3" xfId="1" applyNumberFormat="1" applyFont="1" applyFill="1" applyBorder="1" applyAlignment="1" applyProtection="1">
      <alignment horizontal="center"/>
      <protection hidden="1"/>
    </xf>
    <xf numFmtId="1" fontId="32" fillId="0" borderId="1" xfId="1" applyNumberFormat="1" applyFont="1" applyBorder="1" applyAlignment="1" applyProtection="1">
      <alignment horizontal="center"/>
      <protection hidden="1"/>
    </xf>
    <xf numFmtId="0" fontId="21" fillId="0" borderId="12" xfId="0" applyFont="1" applyBorder="1" applyAlignment="1" applyProtection="1">
      <alignment horizontal="left"/>
      <protection hidden="1"/>
    </xf>
    <xf numFmtId="166" fontId="20" fillId="0" borderId="13" xfId="1" applyNumberFormat="1" applyFont="1" applyFill="1" applyBorder="1" applyAlignment="1" applyProtection="1">
      <alignment horizontal="center"/>
      <protection hidden="1"/>
    </xf>
    <xf numFmtId="166" fontId="11" fillId="0" borderId="4" xfId="0" applyNumberFormat="1" applyFont="1" applyBorder="1" applyAlignment="1" applyProtection="1">
      <alignment horizontal="center"/>
      <protection hidden="1"/>
    </xf>
    <xf numFmtId="166" fontId="11" fillId="0" borderId="8" xfId="0" applyNumberFormat="1" applyFont="1" applyBorder="1" applyAlignment="1" applyProtection="1">
      <alignment horizontal="center"/>
      <protection hidden="1"/>
    </xf>
    <xf numFmtId="166" fontId="11" fillId="0" borderId="11" xfId="0" applyNumberFormat="1" applyFont="1" applyBorder="1" applyAlignment="1" applyProtection="1">
      <alignment horizontal="center"/>
      <protection hidden="1"/>
    </xf>
    <xf numFmtId="0" fontId="15" fillId="0" borderId="6" xfId="0" applyFont="1" applyBorder="1" applyAlignment="1" applyProtection="1">
      <alignment horizontal="left"/>
      <protection hidden="1"/>
    </xf>
    <xf numFmtId="0" fontId="11" fillId="0" borderId="0" xfId="0" applyFont="1" applyBorder="1" applyProtection="1">
      <protection hidden="1"/>
    </xf>
    <xf numFmtId="0" fontId="11" fillId="0" borderId="7" xfId="0" applyFont="1" applyBorder="1" applyProtection="1">
      <protection hidden="1"/>
    </xf>
    <xf numFmtId="166" fontId="11" fillId="0" borderId="6" xfId="0" applyNumberFormat="1" applyFont="1" applyBorder="1" applyAlignment="1" applyProtection="1">
      <alignment horizontal="center"/>
      <protection hidden="1"/>
    </xf>
    <xf numFmtId="166" fontId="31" fillId="0" borderId="7" xfId="0" applyNumberFormat="1" applyFont="1" applyBorder="1" applyAlignment="1" applyProtection="1">
      <alignment horizontal="center"/>
      <protection hidden="1"/>
    </xf>
    <xf numFmtId="166" fontId="11" fillId="0" borderId="3" xfId="0" applyNumberFormat="1" applyFont="1" applyBorder="1" applyAlignment="1" applyProtection="1">
      <alignment horizontal="center"/>
      <protection hidden="1"/>
    </xf>
    <xf numFmtId="166" fontId="11" fillId="0" borderId="6" xfId="1" applyNumberFormat="1" applyFont="1" applyBorder="1" applyAlignment="1" applyProtection="1">
      <alignment horizontal="center"/>
      <protection hidden="1"/>
    </xf>
    <xf numFmtId="166" fontId="11" fillId="0" borderId="7" xfId="0" applyNumberFormat="1" applyFont="1" applyBorder="1" applyAlignment="1" applyProtection="1">
      <alignment horizontal="center"/>
      <protection hidden="1"/>
    </xf>
    <xf numFmtId="166" fontId="31" fillId="0" borderId="10" xfId="0" applyNumberFormat="1" applyFont="1" applyBorder="1" applyAlignment="1" applyProtection="1">
      <alignment horizontal="center"/>
      <protection hidden="1"/>
    </xf>
    <xf numFmtId="166" fontId="11" fillId="0" borderId="12" xfId="1" applyNumberFormat="1" applyFont="1" applyBorder="1" applyAlignment="1" applyProtection="1">
      <alignment horizontal="center"/>
      <protection hidden="1"/>
    </xf>
    <xf numFmtId="0" fontId="22" fillId="0" borderId="1" xfId="0" applyFont="1" applyBorder="1" applyProtection="1">
      <protection hidden="1"/>
    </xf>
    <xf numFmtId="0" fontId="33" fillId="0" borderId="1" xfId="0" applyFont="1" applyBorder="1" applyProtection="1">
      <protection hidden="1"/>
    </xf>
    <xf numFmtId="0" fontId="7" fillId="0" borderId="9" xfId="0" applyFont="1" applyBorder="1" applyProtection="1">
      <protection hidden="1"/>
    </xf>
    <xf numFmtId="166" fontId="11" fillId="0" borderId="6" xfId="0" applyNumberFormat="1" applyFont="1" applyBorder="1" applyAlignment="1" applyProtection="1">
      <alignment horizontal="left"/>
      <protection hidden="1"/>
    </xf>
    <xf numFmtId="0" fontId="34" fillId="0" borderId="0" xfId="0" applyFont="1" applyBorder="1" applyAlignment="1" applyProtection="1">
      <alignment horizontal="center"/>
      <protection hidden="1"/>
    </xf>
    <xf numFmtId="0" fontId="22" fillId="0" borderId="4" xfId="0" applyFont="1" applyBorder="1" applyAlignment="1" applyProtection="1">
      <alignment horizontal="left"/>
      <protection hidden="1"/>
    </xf>
    <xf numFmtId="0" fontId="11" fillId="0" borderId="11" xfId="0" applyFont="1" applyBorder="1" applyProtection="1">
      <protection hidden="1"/>
    </xf>
    <xf numFmtId="0" fontId="35" fillId="0" borderId="1" xfId="0" applyFont="1" applyBorder="1" applyProtection="1">
      <protection hidden="1"/>
    </xf>
    <xf numFmtId="0" fontId="22" fillId="0" borderId="12" xfId="0" applyFont="1" applyBorder="1" applyAlignment="1" applyProtection="1">
      <alignment horizontal="left"/>
      <protection hidden="1"/>
    </xf>
    <xf numFmtId="0" fontId="11" fillId="0" borderId="13" xfId="0" applyFont="1" applyBorder="1" applyProtection="1">
      <protection hidden="1"/>
    </xf>
    <xf numFmtId="0" fontId="35" fillId="0" borderId="9" xfId="0" applyFont="1" applyBorder="1" applyProtection="1">
      <protection hidden="1"/>
    </xf>
    <xf numFmtId="0" fontId="22" fillId="0" borderId="4" xfId="0" applyFont="1" applyBorder="1" applyProtection="1">
      <protection hidden="1"/>
    </xf>
    <xf numFmtId="0" fontId="11" fillId="0" borderId="1" xfId="0" applyFont="1" applyBorder="1" applyAlignment="1" applyProtection="1">
      <alignment horizontal="center"/>
      <protection hidden="1"/>
    </xf>
    <xf numFmtId="0" fontId="31" fillId="0" borderId="1" xfId="0" applyFont="1" applyBorder="1" applyAlignment="1" applyProtection="1">
      <alignment horizontal="center"/>
      <protection hidden="1"/>
    </xf>
    <xf numFmtId="0" fontId="11" fillId="0" borderId="11" xfId="0" applyFont="1" applyBorder="1" applyAlignment="1" applyProtection="1">
      <alignment horizontal="center"/>
      <protection hidden="1"/>
    </xf>
    <xf numFmtId="0" fontId="36" fillId="2" borderId="14" xfId="0" applyFont="1" applyFill="1" applyBorder="1" applyAlignment="1" applyProtection="1">
      <alignment horizontal="center"/>
      <protection hidden="1"/>
    </xf>
    <xf numFmtId="0" fontId="36" fillId="2" borderId="11" xfId="0" applyFont="1" applyFill="1" applyBorder="1" applyAlignment="1" applyProtection="1">
      <alignment horizontal="center"/>
      <protection hidden="1"/>
    </xf>
    <xf numFmtId="167" fontId="12" fillId="0" borderId="12" xfId="2" applyNumberFormat="1" applyFont="1" applyBorder="1" applyProtection="1">
      <protection hidden="1"/>
    </xf>
    <xf numFmtId="167" fontId="12" fillId="0" borderId="10" xfId="2" applyNumberFormat="1" applyFont="1" applyBorder="1" applyProtection="1">
      <protection hidden="1"/>
    </xf>
    <xf numFmtId="167" fontId="12" fillId="0" borderId="13" xfId="2" applyNumberFormat="1" applyFont="1" applyBorder="1" applyProtection="1">
      <protection hidden="1"/>
    </xf>
    <xf numFmtId="167" fontId="12" fillId="0" borderId="0" xfId="2" applyNumberFormat="1" applyFont="1" applyProtection="1">
      <protection hidden="1"/>
    </xf>
    <xf numFmtId="0" fontId="22" fillId="0" borderId="6" xfId="0" applyFont="1" applyBorder="1" applyProtection="1">
      <protection hidden="1"/>
    </xf>
    <xf numFmtId="0" fontId="22" fillId="0" borderId="7" xfId="0" applyFont="1" applyBorder="1" applyProtection="1">
      <protection hidden="1"/>
    </xf>
    <xf numFmtId="167" fontId="13" fillId="0" borderId="12" xfId="2" applyNumberFormat="1" applyFont="1" applyBorder="1" applyProtection="1">
      <protection hidden="1"/>
    </xf>
    <xf numFmtId="0" fontId="22" fillId="0" borderId="8" xfId="0" applyFont="1" applyBorder="1" applyProtection="1">
      <protection hidden="1"/>
    </xf>
    <xf numFmtId="166" fontId="31" fillId="0" borderId="1" xfId="1" applyNumberFormat="1" applyFont="1" applyBorder="1" applyAlignment="1" applyProtection="1">
      <alignment horizontal="center"/>
      <protection hidden="1"/>
    </xf>
    <xf numFmtId="0" fontId="15" fillId="0" borderId="11" xfId="0" applyFont="1" applyBorder="1" applyAlignment="1" applyProtection="1">
      <alignment horizontal="center"/>
      <protection hidden="1"/>
    </xf>
    <xf numFmtId="166" fontId="19" fillId="0" borderId="5" xfId="0" applyNumberFormat="1" applyFont="1" applyFill="1" applyBorder="1" applyAlignment="1" applyProtection="1">
      <alignment horizontal="center" wrapText="1"/>
      <protection hidden="1"/>
    </xf>
    <xf numFmtId="0" fontId="22" fillId="0" borderId="0" xfId="0" applyFont="1" applyAlignment="1" applyProtection="1">
      <alignment horizontal="right"/>
      <protection hidden="1"/>
    </xf>
    <xf numFmtId="0" fontId="0" fillId="0" borderId="0" xfId="0" applyFill="1" applyProtection="1">
      <protection hidden="1"/>
    </xf>
    <xf numFmtId="0" fontId="22" fillId="0" borderId="0" xfId="0" applyFont="1" applyProtection="1">
      <protection hidden="1"/>
    </xf>
    <xf numFmtId="0" fontId="11" fillId="0" borderId="1" xfId="0" applyFont="1" applyFill="1" applyBorder="1" applyProtection="1">
      <protection hidden="1"/>
    </xf>
    <xf numFmtId="0" fontId="11" fillId="0" borderId="8" xfId="0" applyFont="1" applyFill="1" applyBorder="1" applyProtection="1">
      <protection hidden="1"/>
    </xf>
    <xf numFmtId="9" fontId="22" fillId="2" borderId="0" xfId="2" applyFont="1" applyFill="1" applyAlignment="1" applyProtection="1">
      <alignment horizontal="center"/>
      <protection locked="0" hidden="1"/>
    </xf>
    <xf numFmtId="0" fontId="37" fillId="0" borderId="4" xfId="0" applyFont="1" applyBorder="1" applyProtection="1">
      <protection hidden="1"/>
    </xf>
    <xf numFmtId="0" fontId="38" fillId="0" borderId="4" xfId="0" applyFont="1" applyBorder="1" applyProtection="1">
      <protection hidden="1"/>
    </xf>
    <xf numFmtId="0" fontId="37" fillId="0" borderId="12" xfId="0" applyFont="1" applyBorder="1" applyProtection="1">
      <protection hidden="1"/>
    </xf>
    <xf numFmtId="0" fontId="26" fillId="0" borderId="9" xfId="0" applyFont="1" applyBorder="1" applyAlignment="1" applyProtection="1">
      <alignment horizontal="center"/>
      <protection hidden="1"/>
    </xf>
    <xf numFmtId="0" fontId="38" fillId="0" borderId="12" xfId="0" applyFont="1" applyBorder="1" applyProtection="1">
      <protection hidden="1"/>
    </xf>
    <xf numFmtId="0" fontId="37" fillId="0" borderId="15" xfId="0" applyFont="1" applyBorder="1" applyAlignment="1" applyProtection="1">
      <alignment horizontal="left"/>
      <protection hidden="1"/>
    </xf>
    <xf numFmtId="0" fontId="26" fillId="0" borderId="16" xfId="0" applyFont="1" applyBorder="1" applyAlignment="1" applyProtection="1">
      <alignment horizontal="center"/>
      <protection hidden="1"/>
    </xf>
    <xf numFmtId="0" fontId="26" fillId="0" borderId="15" xfId="0" applyFont="1" applyBorder="1" applyAlignment="1" applyProtection="1">
      <alignment horizontal="center"/>
      <protection hidden="1"/>
    </xf>
    <xf numFmtId="0" fontId="28" fillId="0" borderId="16" xfId="0" applyFont="1" applyBorder="1" applyAlignment="1" applyProtection="1">
      <alignment horizontal="center"/>
      <protection hidden="1"/>
    </xf>
    <xf numFmtId="0" fontId="26" fillId="0" borderId="17" xfId="0" applyFont="1" applyBorder="1" applyAlignment="1" applyProtection="1">
      <alignment horizontal="center"/>
      <protection hidden="1"/>
    </xf>
    <xf numFmtId="0" fontId="39" fillId="2" borderId="18" xfId="0" applyFont="1" applyFill="1" applyBorder="1" applyAlignment="1" applyProtection="1">
      <alignment horizontal="center"/>
      <protection hidden="1"/>
    </xf>
    <xf numFmtId="0" fontId="26" fillId="0" borderId="19" xfId="0" applyFont="1" applyBorder="1" applyAlignment="1" applyProtection="1">
      <alignment horizontal="center"/>
      <protection hidden="1"/>
    </xf>
    <xf numFmtId="166" fontId="37" fillId="0" borderId="6" xfId="1" applyNumberFormat="1" applyFont="1" applyBorder="1" applyProtection="1">
      <protection hidden="1"/>
    </xf>
    <xf numFmtId="166" fontId="26" fillId="0" borderId="0" xfId="1" applyNumberFormat="1" applyFont="1" applyBorder="1" applyProtection="1">
      <protection hidden="1"/>
    </xf>
    <xf numFmtId="0" fontId="37" fillId="0" borderId="6" xfId="0" applyFont="1" applyBorder="1" applyProtection="1">
      <protection hidden="1"/>
    </xf>
    <xf numFmtId="0" fontId="26" fillId="0" borderId="6" xfId="0" applyFont="1" applyBorder="1" applyProtection="1">
      <protection hidden="1"/>
    </xf>
    <xf numFmtId="1" fontId="29" fillId="0" borderId="0" xfId="0" applyNumberFormat="1" applyFont="1" applyBorder="1" applyAlignment="1" applyProtection="1">
      <alignment horizontal="center"/>
      <protection hidden="1"/>
    </xf>
    <xf numFmtId="167" fontId="40" fillId="0" borderId="12" xfId="2" applyNumberFormat="1" applyFont="1" applyBorder="1" applyProtection="1">
      <protection hidden="1"/>
    </xf>
    <xf numFmtId="167" fontId="41" fillId="0" borderId="9" xfId="2" applyNumberFormat="1" applyFont="1" applyBorder="1" applyProtection="1">
      <protection hidden="1"/>
    </xf>
    <xf numFmtId="1" fontId="29" fillId="0" borderId="9" xfId="2" applyNumberFormat="1" applyFont="1" applyBorder="1" applyAlignment="1" applyProtection="1">
      <alignment horizontal="center"/>
      <protection hidden="1"/>
    </xf>
    <xf numFmtId="1" fontId="29" fillId="0" borderId="1" xfId="0" applyNumberFormat="1" applyFont="1" applyBorder="1" applyAlignment="1" applyProtection="1">
      <alignment horizontal="center"/>
      <protection hidden="1"/>
    </xf>
    <xf numFmtId="0" fontId="37" fillId="0" borderId="6" xfId="0" applyFont="1" applyBorder="1" applyAlignment="1" applyProtection="1">
      <alignment horizontal="left"/>
      <protection hidden="1"/>
    </xf>
    <xf numFmtId="0" fontId="26" fillId="0" borderId="0" xfId="0" applyFont="1" applyBorder="1" applyAlignment="1" applyProtection="1">
      <alignment horizontal="center"/>
      <protection hidden="1"/>
    </xf>
    <xf numFmtId="0" fontId="26" fillId="0" borderId="6" xfId="0" applyFont="1" applyBorder="1" applyAlignment="1" applyProtection="1">
      <alignment horizontal="center"/>
      <protection hidden="1"/>
    </xf>
    <xf numFmtId="0" fontId="26" fillId="0" borderId="3" xfId="0" applyFont="1" applyBorder="1" applyAlignment="1" applyProtection="1">
      <alignment horizontal="center"/>
      <protection hidden="1"/>
    </xf>
    <xf numFmtId="0" fontId="26" fillId="2" borderId="20" xfId="0" applyFont="1" applyFill="1" applyBorder="1" applyAlignment="1" applyProtection="1">
      <alignment horizontal="center"/>
      <protection hidden="1"/>
    </xf>
    <xf numFmtId="0" fontId="26" fillId="0" borderId="7" xfId="0" applyFont="1" applyBorder="1" applyAlignment="1" applyProtection="1">
      <alignment horizontal="center"/>
      <protection hidden="1"/>
    </xf>
    <xf numFmtId="1" fontId="41" fillId="0" borderId="9" xfId="2" applyNumberFormat="1" applyFont="1" applyBorder="1" applyAlignment="1" applyProtection="1">
      <alignment horizontal="center"/>
      <protection hidden="1"/>
    </xf>
    <xf numFmtId="0" fontId="26" fillId="0" borderId="0" xfId="0" applyFont="1" applyProtection="1">
      <protection hidden="1"/>
    </xf>
    <xf numFmtId="168" fontId="26" fillId="0" borderId="0" xfId="0" applyNumberFormat="1" applyFont="1" applyProtection="1">
      <protection hidden="1"/>
    </xf>
    <xf numFmtId="0" fontId="25" fillId="0" borderId="0" xfId="0" applyFont="1" applyProtection="1">
      <protection hidden="1"/>
    </xf>
    <xf numFmtId="168" fontId="7" fillId="0" borderId="0" xfId="0" applyNumberFormat="1" applyFont="1" applyProtection="1">
      <protection hidden="1"/>
    </xf>
    <xf numFmtId="168" fontId="25" fillId="3" borderId="0" xfId="0" applyNumberFormat="1" applyFont="1" applyFill="1" applyProtection="1">
      <protection hidden="1"/>
    </xf>
    <xf numFmtId="0" fontId="6" fillId="0" borderId="7" xfId="0" applyFont="1" applyBorder="1" applyAlignment="1" applyProtection="1">
      <alignment horizontal="right"/>
      <protection hidden="1"/>
    </xf>
    <xf numFmtId="9" fontId="22" fillId="0" borderId="0" xfId="2" applyFont="1" applyFill="1" applyAlignment="1" applyProtection="1">
      <alignment horizontal="center"/>
      <protection locked="0" hidden="1"/>
    </xf>
    <xf numFmtId="9" fontId="38" fillId="2" borderId="21" xfId="0" applyNumberFormat="1" applyFont="1" applyFill="1" applyBorder="1" applyAlignment="1" applyProtection="1">
      <alignment horizontal="center"/>
      <protection hidden="1"/>
    </xf>
    <xf numFmtId="9" fontId="35" fillId="2" borderId="22" xfId="0" applyNumberFormat="1" applyFont="1" applyFill="1" applyBorder="1" applyAlignment="1" applyProtection="1">
      <alignment horizontal="center"/>
      <protection hidden="1"/>
    </xf>
    <xf numFmtId="0" fontId="15" fillId="0" borderId="23" xfId="0" applyFont="1" applyFill="1" applyBorder="1" applyProtection="1">
      <protection hidden="1"/>
    </xf>
    <xf numFmtId="0" fontId="19" fillId="0" borderId="23" xfId="0" applyFont="1" applyFill="1" applyBorder="1" applyAlignment="1" applyProtection="1">
      <alignment horizontal="center"/>
      <protection hidden="1"/>
    </xf>
    <xf numFmtId="166" fontId="19" fillId="0" borderId="0" xfId="1" applyNumberFormat="1" applyFont="1" applyFill="1" applyBorder="1" applyAlignment="1" applyProtection="1">
      <alignment horizontal="center"/>
      <protection hidden="1"/>
    </xf>
    <xf numFmtId="0" fontId="15" fillId="0" borderId="11" xfId="0" applyFont="1" applyFill="1" applyBorder="1" applyProtection="1">
      <protection hidden="1"/>
    </xf>
    <xf numFmtId="0" fontId="15" fillId="0" borderId="3" xfId="0" applyFont="1" applyFill="1" applyBorder="1" applyAlignment="1" applyProtection="1">
      <alignment horizontal="center"/>
      <protection hidden="1"/>
    </xf>
    <xf numFmtId="10" fontId="22" fillId="2" borderId="0" xfId="2" applyNumberFormat="1" applyFont="1" applyFill="1" applyAlignment="1" applyProtection="1">
      <alignment horizontal="center"/>
      <protection locked="0" hidden="1"/>
    </xf>
    <xf numFmtId="1" fontId="32" fillId="3" borderId="1" xfId="1" applyNumberFormat="1" applyFont="1" applyFill="1" applyBorder="1" applyAlignment="1" applyProtection="1">
      <alignment horizontal="center"/>
      <protection hidden="1"/>
    </xf>
    <xf numFmtId="1" fontId="32" fillId="3" borderId="0" xfId="1" applyNumberFormat="1" applyFont="1" applyFill="1" applyBorder="1" applyAlignment="1" applyProtection="1">
      <alignment horizontal="center"/>
      <protection hidden="1"/>
    </xf>
    <xf numFmtId="1" fontId="32" fillId="3" borderId="9" xfId="1" applyNumberFormat="1" applyFont="1" applyFill="1" applyBorder="1" applyAlignment="1" applyProtection="1">
      <alignment horizontal="center"/>
      <protection hidden="1"/>
    </xf>
    <xf numFmtId="1" fontId="32" fillId="3" borderId="3" xfId="1" applyNumberFormat="1" applyFont="1" applyFill="1" applyBorder="1" applyAlignment="1" applyProtection="1">
      <alignment horizontal="center"/>
      <protection hidden="1"/>
    </xf>
    <xf numFmtId="168" fontId="15" fillId="3" borderId="0" xfId="0" applyNumberFormat="1" applyFont="1" applyFill="1" applyAlignment="1" applyProtection="1">
      <alignment horizontal="center"/>
      <protection locked="0" hidden="1"/>
    </xf>
    <xf numFmtId="171" fontId="5" fillId="4" borderId="0" xfId="0" applyNumberFormat="1" applyFont="1" applyFill="1" applyAlignment="1" applyProtection="1">
      <alignment horizontal="center"/>
      <protection hidden="1"/>
    </xf>
    <xf numFmtId="0" fontId="45" fillId="2" borderId="0" xfId="0" applyFont="1" applyFill="1" applyAlignment="1" applyProtection="1">
      <alignment horizontal="center"/>
      <protection locked="0" hidden="1"/>
    </xf>
    <xf numFmtId="0" fontId="21" fillId="4" borderId="0" xfId="0" applyFont="1" applyFill="1" applyAlignment="1" applyProtection="1">
      <alignment horizontal="center"/>
      <protection locked="0" hidden="1"/>
    </xf>
    <xf numFmtId="1" fontId="29" fillId="3" borderId="0" xfId="1" applyNumberFormat="1" applyFont="1" applyFill="1" applyBorder="1" applyAlignment="1" applyProtection="1">
      <alignment horizontal="center"/>
      <protection hidden="1"/>
    </xf>
    <xf numFmtId="0" fontId="8" fillId="5" borderId="2" xfId="0" applyFont="1" applyFill="1" applyBorder="1" applyProtection="1">
      <protection hidden="1"/>
    </xf>
    <xf numFmtId="0" fontId="0" fillId="5" borderId="23" xfId="0" applyFill="1" applyBorder="1" applyProtection="1">
      <protection hidden="1"/>
    </xf>
    <xf numFmtId="166" fontId="8" fillId="5" borderId="5" xfId="1" applyNumberFormat="1" applyFont="1" applyFill="1" applyBorder="1" applyAlignment="1" applyProtection="1">
      <alignment horizontal="center"/>
      <protection hidden="1"/>
    </xf>
    <xf numFmtId="166" fontId="8" fillId="5" borderId="5" xfId="0" applyNumberFormat="1" applyFont="1" applyFill="1" applyBorder="1" applyAlignment="1" applyProtection="1">
      <alignment horizontal="center"/>
      <protection hidden="1"/>
    </xf>
    <xf numFmtId="0" fontId="25" fillId="4" borderId="0" xfId="0" applyFont="1" applyFill="1" applyProtection="1">
      <protection hidden="1"/>
    </xf>
    <xf numFmtId="0" fontId="25" fillId="4" borderId="0" xfId="0" applyFont="1" applyFill="1" applyAlignment="1" applyProtection="1">
      <alignment horizontal="right"/>
      <protection hidden="1"/>
    </xf>
    <xf numFmtId="170" fontId="0" fillId="0" borderId="0" xfId="0" applyNumberFormat="1" applyFill="1" applyProtection="1">
      <protection hidden="1"/>
    </xf>
    <xf numFmtId="0" fontId="26" fillId="0" borderId="0" xfId="0" applyFont="1" applyFill="1" applyProtection="1">
      <protection hidden="1"/>
    </xf>
    <xf numFmtId="166" fontId="30" fillId="0" borderId="0" xfId="0" applyNumberFormat="1" applyFont="1" applyFill="1" applyProtection="1">
      <protection hidden="1"/>
    </xf>
    <xf numFmtId="166" fontId="30" fillId="0" borderId="0" xfId="0" applyNumberFormat="1" applyFont="1" applyFill="1" applyAlignment="1" applyProtection="1">
      <alignment horizontal="right"/>
      <protection hidden="1"/>
    </xf>
    <xf numFmtId="9" fontId="44" fillId="0" borderId="10" xfId="0" applyNumberFormat="1" applyFont="1" applyFill="1" applyBorder="1" applyAlignment="1" applyProtection="1">
      <alignment horizontal="center"/>
      <protection hidden="1"/>
    </xf>
    <xf numFmtId="0" fontId="37" fillId="0" borderId="0" xfId="0" applyFont="1" applyFill="1" applyProtection="1">
      <protection hidden="1"/>
    </xf>
    <xf numFmtId="166" fontId="42" fillId="0" borderId="0" xfId="0" applyNumberFormat="1" applyFont="1" applyFill="1" applyProtection="1">
      <protection hidden="1"/>
    </xf>
    <xf numFmtId="166" fontId="42" fillId="0" borderId="0" xfId="0" applyNumberFormat="1" applyFont="1" applyFill="1" applyAlignment="1" applyProtection="1">
      <alignment horizontal="right"/>
      <protection hidden="1"/>
    </xf>
    <xf numFmtId="166" fontId="11" fillId="0" borderId="0" xfId="1" applyNumberFormat="1" applyFont="1" applyBorder="1" applyAlignment="1" applyProtection="1">
      <alignment horizontal="center"/>
      <protection hidden="1"/>
    </xf>
    <xf numFmtId="166" fontId="36" fillId="2" borderId="3" xfId="1" applyNumberFormat="1" applyFont="1" applyFill="1" applyBorder="1" applyAlignment="1" applyProtection="1">
      <alignment horizontal="center"/>
      <protection hidden="1"/>
    </xf>
    <xf numFmtId="166" fontId="11" fillId="0" borderId="7" xfId="1" applyNumberFormat="1" applyFont="1" applyBorder="1" applyAlignment="1" applyProtection="1">
      <alignment horizontal="center"/>
      <protection hidden="1"/>
    </xf>
    <xf numFmtId="167" fontId="12" fillId="0" borderId="9" xfId="2" applyNumberFormat="1" applyFont="1" applyBorder="1" applyAlignment="1" applyProtection="1">
      <alignment horizontal="center"/>
      <protection hidden="1"/>
    </xf>
    <xf numFmtId="167" fontId="12" fillId="2" borderId="13" xfId="2" applyNumberFormat="1" applyFont="1" applyFill="1" applyBorder="1" applyAlignment="1" applyProtection="1">
      <alignment horizontal="center"/>
      <protection hidden="1"/>
    </xf>
    <xf numFmtId="167" fontId="12" fillId="0" borderId="10" xfId="2" applyNumberFormat="1" applyFont="1" applyBorder="1" applyAlignment="1" applyProtection="1">
      <alignment horizontal="center"/>
      <protection hidden="1"/>
    </xf>
    <xf numFmtId="166" fontId="11" fillId="0" borderId="0" xfId="0" applyNumberFormat="1" applyFont="1" applyBorder="1" applyAlignment="1" applyProtection="1">
      <alignment horizontal="center"/>
      <protection hidden="1"/>
    </xf>
    <xf numFmtId="166" fontId="31" fillId="0" borderId="0" xfId="0" applyNumberFormat="1" applyFont="1" applyBorder="1" applyAlignment="1" applyProtection="1">
      <alignment horizontal="center"/>
      <protection hidden="1"/>
    </xf>
    <xf numFmtId="167" fontId="12" fillId="0" borderId="13" xfId="2" applyNumberFormat="1" applyFont="1" applyBorder="1" applyAlignment="1" applyProtection="1">
      <alignment horizontal="center"/>
      <protection hidden="1"/>
    </xf>
    <xf numFmtId="166" fontId="11" fillId="0" borderId="1" xfId="0" applyNumberFormat="1" applyFont="1" applyBorder="1" applyAlignment="1" applyProtection="1">
      <alignment horizontal="center"/>
      <protection hidden="1"/>
    </xf>
    <xf numFmtId="166" fontId="3" fillId="0" borderId="0" xfId="0" applyNumberFormat="1" applyFont="1" applyFill="1" applyProtection="1">
      <protection hidden="1"/>
    </xf>
    <xf numFmtId="166" fontId="3" fillId="0" borderId="0" xfId="0" applyNumberFormat="1" applyFont="1" applyFill="1" applyAlignment="1" applyProtection="1">
      <alignment horizontal="right"/>
      <protection hidden="1"/>
    </xf>
    <xf numFmtId="166" fontId="4" fillId="0" borderId="0" xfId="0" applyNumberFormat="1" applyFont="1" applyFill="1" applyProtection="1">
      <protection hidden="1"/>
    </xf>
    <xf numFmtId="166" fontId="0" fillId="0" borderId="0" xfId="0" applyNumberFormat="1" applyFill="1" applyProtection="1">
      <protection hidden="1"/>
    </xf>
    <xf numFmtId="166" fontId="27" fillId="4" borderId="0" xfId="0" applyNumberFormat="1" applyFont="1" applyFill="1" applyAlignment="1" applyProtection="1">
      <alignment horizontal="center"/>
      <protection hidden="1"/>
    </xf>
    <xf numFmtId="166" fontId="25" fillId="4" borderId="0" xfId="0" applyNumberFormat="1" applyFont="1" applyFill="1" applyAlignment="1" applyProtection="1">
      <alignment horizontal="center"/>
      <protection hidden="1"/>
    </xf>
    <xf numFmtId="0" fontId="45" fillId="4" borderId="0" xfId="0" applyFont="1" applyFill="1" applyProtection="1">
      <protection hidden="1"/>
    </xf>
    <xf numFmtId="0" fontId="8" fillId="4" borderId="0" xfId="0" applyFont="1" applyFill="1" applyAlignment="1" applyProtection="1">
      <alignment horizontal="center"/>
      <protection hidden="1"/>
    </xf>
    <xf numFmtId="166" fontId="17" fillId="2" borderId="23" xfId="0" applyNumberFormat="1" applyFont="1" applyFill="1" applyBorder="1" applyAlignment="1" applyProtection="1">
      <alignment horizontal="center" wrapText="1"/>
      <protection hidden="1"/>
    </xf>
    <xf numFmtId="166" fontId="17" fillId="2" borderId="7" xfId="0" applyNumberFormat="1" applyFont="1" applyFill="1" applyBorder="1" applyAlignment="1" applyProtection="1">
      <alignment horizontal="center" wrapText="1"/>
      <protection hidden="1"/>
    </xf>
    <xf numFmtId="166" fontId="36" fillId="2" borderId="1" xfId="1" applyNumberFormat="1" applyFont="1" applyFill="1" applyBorder="1" applyAlignment="1" applyProtection="1">
      <alignment horizontal="center"/>
      <protection hidden="1"/>
    </xf>
    <xf numFmtId="166" fontId="36" fillId="2" borderId="9" xfId="1" applyNumberFormat="1" applyFont="1" applyFill="1" applyBorder="1" applyAlignment="1" applyProtection="1">
      <alignment horizontal="center"/>
      <protection hidden="1"/>
    </xf>
    <xf numFmtId="166" fontId="36" fillId="2" borderId="0" xfId="1" applyNumberFormat="1" applyFont="1" applyFill="1" applyBorder="1" applyAlignment="1" applyProtection="1">
      <alignment horizontal="center"/>
      <protection hidden="1"/>
    </xf>
    <xf numFmtId="166" fontId="43" fillId="4" borderId="0" xfId="0" applyNumberFormat="1" applyFont="1" applyFill="1" applyAlignment="1" applyProtection="1">
      <alignment horizontal="center"/>
      <protection hidden="1"/>
    </xf>
    <xf numFmtId="0" fontId="8" fillId="4" borderId="0" xfId="0" applyFont="1" applyFill="1"/>
    <xf numFmtId="0" fontId="8" fillId="4" borderId="0" xfId="0" applyFont="1" applyFill="1" applyAlignment="1">
      <alignment horizontal="center"/>
    </xf>
    <xf numFmtId="0" fontId="47" fillId="4" borderId="0" xfId="0" applyFont="1" applyFill="1" applyAlignment="1">
      <alignment horizontal="center"/>
    </xf>
    <xf numFmtId="166" fontId="48" fillId="4" borderId="0" xfId="0" applyNumberFormat="1" applyFont="1" applyFill="1" applyAlignment="1" applyProtection="1">
      <alignment horizontal="center"/>
      <protection hidden="1"/>
    </xf>
    <xf numFmtId="0" fontId="48" fillId="4" borderId="0" xfId="0" applyFont="1" applyFill="1" applyAlignment="1" applyProtection="1">
      <alignment horizontal="center"/>
      <protection hidden="1"/>
    </xf>
    <xf numFmtId="0" fontId="27" fillId="4" borderId="0" xfId="0" applyFont="1" applyFill="1" applyAlignment="1" applyProtection="1">
      <alignment horizontal="center"/>
      <protection hidden="1"/>
    </xf>
    <xf numFmtId="0" fontId="25" fillId="4" borderId="0" xfId="0" applyFont="1" applyFill="1"/>
    <xf numFmtId="0" fontId="25" fillId="4" borderId="0" xfId="0" applyFont="1" applyFill="1" applyAlignment="1">
      <alignment horizontal="center"/>
    </xf>
    <xf numFmtId="166" fontId="25" fillId="4" borderId="0" xfId="0" applyNumberFormat="1" applyFont="1" applyFill="1" applyAlignment="1">
      <alignment horizontal="center"/>
    </xf>
    <xf numFmtId="166" fontId="43" fillId="4" borderId="0" xfId="0" applyNumberFormat="1" applyFont="1" applyFill="1" applyAlignment="1">
      <alignment horizontal="center"/>
    </xf>
    <xf numFmtId="166" fontId="26" fillId="0" borderId="6" xfId="1" applyNumberFormat="1" applyFont="1" applyBorder="1" applyAlignment="1" applyProtection="1">
      <alignment horizontal="center"/>
      <protection hidden="1"/>
    </xf>
    <xf numFmtId="166" fontId="28" fillId="0" borderId="0" xfId="1" applyNumberFormat="1" applyFont="1" applyBorder="1" applyAlignment="1" applyProtection="1">
      <alignment horizontal="center"/>
      <protection hidden="1"/>
    </xf>
    <xf numFmtId="166" fontId="26" fillId="0" borderId="3" xfId="1" applyNumberFormat="1" applyFont="1" applyBorder="1" applyAlignment="1" applyProtection="1">
      <alignment horizontal="center"/>
      <protection hidden="1"/>
    </xf>
    <xf numFmtId="166" fontId="39" fillId="2" borderId="20" xfId="1" applyNumberFormat="1" applyFont="1" applyFill="1" applyBorder="1" applyAlignment="1" applyProtection="1">
      <alignment horizontal="center"/>
      <protection hidden="1"/>
    </xf>
    <xf numFmtId="166" fontId="26" fillId="0" borderId="7" xfId="1" applyNumberFormat="1" applyFont="1" applyBorder="1" applyAlignment="1" applyProtection="1">
      <alignment horizontal="center"/>
      <protection hidden="1"/>
    </xf>
    <xf numFmtId="0" fontId="28" fillId="0" borderId="0" xfId="0" applyFont="1" applyBorder="1" applyAlignment="1" applyProtection="1">
      <alignment horizontal="center"/>
      <protection hidden="1"/>
    </xf>
    <xf numFmtId="0" fontId="39" fillId="2" borderId="20" xfId="0" applyFont="1" applyFill="1" applyBorder="1" applyAlignment="1" applyProtection="1">
      <alignment horizontal="center"/>
      <protection hidden="1"/>
    </xf>
    <xf numFmtId="9" fontId="41" fillId="0" borderId="12" xfId="2" applyNumberFormat="1" applyFont="1" applyBorder="1" applyAlignment="1" applyProtection="1">
      <alignment horizontal="center"/>
      <protection hidden="1"/>
    </xf>
    <xf numFmtId="9" fontId="41" fillId="0" borderId="9" xfId="2" applyNumberFormat="1" applyFont="1" applyBorder="1" applyAlignment="1" applyProtection="1">
      <alignment horizontal="center"/>
      <protection hidden="1"/>
    </xf>
    <xf numFmtId="9" fontId="41" fillId="0" borderId="13" xfId="2" applyNumberFormat="1" applyFont="1" applyBorder="1" applyAlignment="1" applyProtection="1">
      <alignment horizontal="center"/>
      <protection hidden="1"/>
    </xf>
    <xf numFmtId="9" fontId="41" fillId="2" borderId="24" xfId="2" applyNumberFormat="1" applyFont="1" applyFill="1" applyBorder="1" applyAlignment="1" applyProtection="1">
      <alignment horizontal="center"/>
      <protection hidden="1"/>
    </xf>
    <xf numFmtId="9" fontId="41" fillId="0" borderId="10" xfId="2" applyNumberFormat="1" applyFont="1" applyBorder="1" applyAlignment="1" applyProtection="1">
      <alignment horizontal="center"/>
      <protection hidden="1"/>
    </xf>
    <xf numFmtId="0" fontId="26" fillId="0" borderId="4" xfId="0" applyFont="1" applyBorder="1" applyAlignment="1" applyProtection="1">
      <alignment horizontal="center"/>
      <protection hidden="1"/>
    </xf>
    <xf numFmtId="0" fontId="26" fillId="0" borderId="1" xfId="0" applyFont="1" applyBorder="1" applyAlignment="1" applyProtection="1">
      <alignment horizontal="center"/>
      <protection hidden="1"/>
    </xf>
    <xf numFmtId="0" fontId="26" fillId="0" borderId="11" xfId="0" applyFont="1" applyBorder="1" applyAlignment="1" applyProtection="1">
      <alignment horizontal="center"/>
      <protection hidden="1"/>
    </xf>
    <xf numFmtId="0" fontId="26" fillId="2" borderId="14" xfId="0" applyFont="1" applyFill="1" applyBorder="1" applyAlignment="1" applyProtection="1">
      <alignment horizontal="center"/>
      <protection hidden="1"/>
    </xf>
    <xf numFmtId="0" fontId="26" fillId="0" borderId="8" xfId="0" applyFont="1" applyBorder="1" applyAlignment="1" applyProtection="1">
      <alignment horizontal="center"/>
      <protection hidden="1"/>
    </xf>
    <xf numFmtId="0" fontId="15" fillId="0" borderId="25" xfId="0" applyFont="1" applyFill="1" applyBorder="1" applyAlignment="1" applyProtection="1">
      <alignment horizontal="left"/>
      <protection hidden="1"/>
    </xf>
    <xf numFmtId="0" fontId="15" fillId="0" borderId="26" xfId="0" applyFont="1" applyFill="1" applyBorder="1" applyAlignment="1" applyProtection="1">
      <alignment horizontal="center"/>
      <protection locked="0" hidden="1"/>
    </xf>
    <xf numFmtId="166" fontId="19" fillId="0" borderId="25" xfId="1" applyNumberFormat="1" applyFont="1" applyFill="1" applyBorder="1" applyAlignment="1" applyProtection="1">
      <alignment horizontal="center"/>
      <protection hidden="1"/>
    </xf>
    <xf numFmtId="166" fontId="16" fillId="2" borderId="26" xfId="1" applyNumberFormat="1" applyFont="1" applyFill="1" applyBorder="1" applyAlignment="1" applyProtection="1">
      <alignment horizontal="center"/>
      <protection hidden="1"/>
    </xf>
    <xf numFmtId="166" fontId="15" fillId="0" borderId="27" xfId="1" applyNumberFormat="1" applyFont="1" applyFill="1" applyBorder="1" applyAlignment="1" applyProtection="1">
      <alignment horizontal="center"/>
      <protection hidden="1"/>
    </xf>
    <xf numFmtId="0" fontId="15" fillId="0" borderId="28" xfId="0" applyFont="1" applyFill="1" applyBorder="1" applyAlignment="1" applyProtection="1">
      <alignment horizontal="left"/>
      <protection hidden="1"/>
    </xf>
    <xf numFmtId="0" fontId="15" fillId="0" borderId="29" xfId="0" applyFont="1" applyFill="1" applyBorder="1" applyAlignment="1" applyProtection="1">
      <alignment horizontal="center"/>
      <protection locked="0" hidden="1"/>
    </xf>
    <xf numFmtId="166" fontId="15" fillId="0" borderId="30" xfId="1" applyNumberFormat="1" applyFont="1" applyFill="1" applyBorder="1" applyAlignment="1" applyProtection="1">
      <alignment horizontal="center"/>
      <protection hidden="1"/>
    </xf>
    <xf numFmtId="166" fontId="19" fillId="0" borderId="28" xfId="1" applyNumberFormat="1" applyFont="1" applyFill="1" applyBorder="1" applyAlignment="1" applyProtection="1">
      <alignment horizontal="center"/>
      <protection hidden="1"/>
    </xf>
    <xf numFmtId="166" fontId="16" fillId="2" borderId="29" xfId="1" applyNumberFormat="1" applyFont="1" applyFill="1" applyBorder="1" applyAlignment="1" applyProtection="1">
      <alignment horizontal="center"/>
      <protection hidden="1"/>
    </xf>
    <xf numFmtId="0" fontId="15" fillId="0" borderId="28" xfId="0" applyFont="1" applyFill="1" applyBorder="1" applyProtection="1">
      <protection hidden="1"/>
    </xf>
    <xf numFmtId="166" fontId="15" fillId="0" borderId="28" xfId="1" applyNumberFormat="1" applyFont="1" applyFill="1" applyBorder="1" applyAlignment="1" applyProtection="1">
      <alignment horizontal="center"/>
      <protection hidden="1"/>
    </xf>
    <xf numFmtId="166" fontId="20" fillId="0" borderId="28" xfId="0" applyNumberFormat="1" applyFont="1" applyFill="1" applyBorder="1" applyProtection="1">
      <protection hidden="1"/>
    </xf>
    <xf numFmtId="166" fontId="19" fillId="0" borderId="29" xfId="0" applyNumberFormat="1" applyFont="1" applyFill="1" applyBorder="1" applyAlignment="1" applyProtection="1">
      <alignment horizontal="center"/>
      <protection locked="0" hidden="1"/>
    </xf>
    <xf numFmtId="166" fontId="23" fillId="0" borderId="28" xfId="1" applyNumberFormat="1" applyFont="1" applyFill="1" applyBorder="1" applyAlignment="1" applyProtection="1">
      <alignment horizontal="center"/>
      <protection hidden="1"/>
    </xf>
    <xf numFmtId="166" fontId="24" fillId="2" borderId="29" xfId="1" applyNumberFormat="1" applyFont="1" applyFill="1" applyBorder="1" applyAlignment="1" applyProtection="1">
      <alignment horizontal="center"/>
      <protection hidden="1"/>
    </xf>
    <xf numFmtId="166" fontId="23" fillId="0" borderId="30" xfId="1" applyNumberFormat="1" applyFont="1" applyFill="1" applyBorder="1" applyAlignment="1" applyProtection="1">
      <alignment horizontal="center"/>
      <protection hidden="1"/>
    </xf>
    <xf numFmtId="166" fontId="20" fillId="0" borderId="31" xfId="0" applyNumberFormat="1" applyFont="1" applyFill="1" applyBorder="1" applyProtection="1">
      <protection hidden="1"/>
    </xf>
    <xf numFmtId="166" fontId="19" fillId="0" borderId="32" xfId="0" applyNumberFormat="1" applyFont="1" applyFill="1" applyBorder="1" applyAlignment="1" applyProtection="1">
      <alignment horizontal="center"/>
      <protection locked="0" hidden="1"/>
    </xf>
    <xf numFmtId="166" fontId="23" fillId="0" borderId="31" xfId="1" applyNumberFormat="1" applyFont="1" applyFill="1" applyBorder="1" applyAlignment="1" applyProtection="1">
      <alignment horizontal="center"/>
      <protection hidden="1"/>
    </xf>
    <xf numFmtId="166" fontId="24" fillId="2" borderId="32" xfId="1" applyNumberFormat="1" applyFont="1" applyFill="1" applyBorder="1" applyAlignment="1" applyProtection="1">
      <alignment horizontal="center"/>
      <protection hidden="1"/>
    </xf>
    <xf numFmtId="166" fontId="23" fillId="0" borderId="33" xfId="1" applyNumberFormat="1" applyFont="1" applyFill="1" applyBorder="1" applyAlignment="1" applyProtection="1">
      <alignment horizontal="center"/>
      <protection hidden="1"/>
    </xf>
    <xf numFmtId="0" fontId="49" fillId="4" borderId="2" xfId="0" applyFont="1" applyFill="1" applyBorder="1" applyAlignment="1" applyProtection="1">
      <alignment horizontal="right"/>
      <protection hidden="1"/>
    </xf>
    <xf numFmtId="0" fontId="50" fillId="4" borderId="23" xfId="0" applyFont="1" applyFill="1" applyBorder="1" applyProtection="1">
      <protection hidden="1"/>
    </xf>
    <xf numFmtId="0" fontId="50" fillId="4" borderId="5" xfId="0" applyFont="1" applyFill="1" applyBorder="1" applyProtection="1">
      <protection hidden="1"/>
    </xf>
    <xf numFmtId="166" fontId="51" fillId="4" borderId="23" xfId="1" applyNumberFormat="1" applyFont="1" applyFill="1" applyBorder="1" applyAlignment="1" applyProtection="1">
      <alignment horizontal="center"/>
      <protection hidden="1"/>
    </xf>
    <xf numFmtId="166" fontId="52" fillId="4" borderId="5" xfId="1" applyNumberFormat="1" applyFont="1" applyFill="1" applyBorder="1" applyAlignment="1" applyProtection="1">
      <alignment horizontal="center"/>
      <protection hidden="1"/>
    </xf>
    <xf numFmtId="166" fontId="51" fillId="4" borderId="34" xfId="1" applyNumberFormat="1" applyFont="1" applyFill="1" applyBorder="1" applyAlignment="1" applyProtection="1">
      <alignment horizontal="center"/>
      <protection hidden="1"/>
    </xf>
    <xf numFmtId="0" fontId="53" fillId="0" borderId="0" xfId="0" applyFont="1" applyProtection="1">
      <protection hidden="1"/>
    </xf>
    <xf numFmtId="2" fontId="0" fillId="0" borderId="0" xfId="0" applyNumberFormat="1" applyProtection="1">
      <protection hidden="1"/>
    </xf>
    <xf numFmtId="2" fontId="14" fillId="0" borderId="0" xfId="0" applyNumberFormat="1" applyFont="1" applyProtection="1">
      <protection hidden="1"/>
    </xf>
    <xf numFmtId="2" fontId="15" fillId="0" borderId="4" xfId="0" applyNumberFormat="1" applyFont="1" applyBorder="1" applyAlignment="1" applyProtection="1">
      <alignment horizontal="center"/>
      <protection hidden="1"/>
    </xf>
    <xf numFmtId="0" fontId="15" fillId="0" borderId="0" xfId="0" applyFont="1" applyProtection="1">
      <protection hidden="1"/>
    </xf>
    <xf numFmtId="166" fontId="46" fillId="0" borderId="6" xfId="1" applyNumberFormat="1" applyFont="1" applyBorder="1" applyProtection="1">
      <protection hidden="1"/>
    </xf>
    <xf numFmtId="166" fontId="28" fillId="0" borderId="7" xfId="1" applyNumberFormat="1" applyFont="1" applyBorder="1" applyAlignment="1" applyProtection="1">
      <alignment horizontal="center"/>
      <protection hidden="1"/>
    </xf>
    <xf numFmtId="0" fontId="28" fillId="0" borderId="7" xfId="0" applyFont="1" applyBorder="1" applyAlignment="1" applyProtection="1">
      <alignment horizontal="center"/>
      <protection hidden="1"/>
    </xf>
    <xf numFmtId="0" fontId="46" fillId="0" borderId="6" xfId="0" applyFont="1" applyBorder="1" applyAlignment="1" applyProtection="1">
      <alignment horizontal="left"/>
      <protection hidden="1"/>
    </xf>
    <xf numFmtId="1" fontId="32" fillId="3" borderId="13" xfId="1" applyNumberFormat="1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wrapText="1"/>
      <protection hidden="1"/>
    </xf>
    <xf numFmtId="0" fontId="35" fillId="0" borderId="0" xfId="0" applyFont="1" applyProtection="1">
      <protection hidden="1"/>
    </xf>
    <xf numFmtId="0" fontId="55" fillId="0" borderId="0" xfId="0" applyFont="1" applyAlignment="1" applyProtection="1">
      <alignment vertical="top"/>
      <protection hidden="1"/>
    </xf>
    <xf numFmtId="168" fontId="0" fillId="0" borderId="0" xfId="0" applyNumberFormat="1" applyAlignment="1" applyProtection="1">
      <alignment horizontal="center"/>
      <protection hidden="1"/>
    </xf>
    <xf numFmtId="4" fontId="31" fillId="0" borderId="7" xfId="0" applyNumberFormat="1" applyFont="1" applyBorder="1" applyAlignment="1" applyProtection="1">
      <alignment horizontal="center"/>
      <protection hidden="1"/>
    </xf>
    <xf numFmtId="169" fontId="0" fillId="0" borderId="0" xfId="0" applyNumberFormat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 wrapText="1"/>
      <protection hidden="1"/>
    </xf>
    <xf numFmtId="0" fontId="58" fillId="0" borderId="0" xfId="0" applyFont="1" applyProtection="1">
      <protection hidden="1"/>
    </xf>
    <xf numFmtId="169" fontId="58" fillId="0" borderId="0" xfId="0" applyNumberFormat="1" applyFont="1" applyProtection="1">
      <protection hidden="1"/>
    </xf>
    <xf numFmtId="166" fontId="26" fillId="0" borderId="35" xfId="1" applyNumberFormat="1" applyFont="1" applyBorder="1" applyAlignment="1" applyProtection="1">
      <alignment horizontal="center"/>
      <protection hidden="1"/>
    </xf>
    <xf numFmtId="166" fontId="28" fillId="0" borderId="46" xfId="1" applyNumberFormat="1" applyFont="1" applyBorder="1" applyAlignment="1" applyProtection="1">
      <alignment horizontal="center"/>
      <protection hidden="1"/>
    </xf>
    <xf numFmtId="0" fontId="6" fillId="0" borderId="0" xfId="0" applyFont="1"/>
    <xf numFmtId="0" fontId="6" fillId="0" borderId="0" xfId="0" applyFont="1" applyBorder="1"/>
    <xf numFmtId="0" fontId="6" fillId="0" borderId="0" xfId="0" applyFont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1" fillId="0" borderId="0" xfId="0" applyFont="1" applyProtection="1">
      <protection hidden="1"/>
    </xf>
    <xf numFmtId="0" fontId="1" fillId="0" borderId="0" xfId="0" applyFont="1" applyBorder="1"/>
    <xf numFmtId="0" fontId="1" fillId="0" borderId="0" xfId="0" applyFont="1" applyFill="1" applyBorder="1"/>
    <xf numFmtId="164" fontId="0" fillId="0" borderId="0" xfId="0" applyNumberFormat="1" applyProtection="1">
      <protection hidden="1"/>
    </xf>
    <xf numFmtId="0" fontId="15" fillId="0" borderId="50" xfId="0" applyFont="1" applyFill="1" applyBorder="1" applyAlignment="1" applyProtection="1">
      <alignment horizontal="center"/>
      <protection hidden="1"/>
    </xf>
    <xf numFmtId="0" fontId="6" fillId="0" borderId="0" xfId="0" applyFont="1" applyFill="1"/>
    <xf numFmtId="0" fontId="6" fillId="0" borderId="0" xfId="0" applyFont="1" applyFill="1" applyBorder="1"/>
    <xf numFmtId="0" fontId="22" fillId="0" borderId="0" xfId="0" applyFont="1" applyAlignment="1">
      <alignment horizontal="center"/>
    </xf>
    <xf numFmtId="0" fontId="6" fillId="6" borderId="0" xfId="0" applyFont="1" applyFill="1"/>
    <xf numFmtId="0" fontId="62" fillId="0" borderId="0" xfId="0" applyFont="1"/>
    <xf numFmtId="0" fontId="1" fillId="0" borderId="0" xfId="0" applyFont="1"/>
    <xf numFmtId="0" fontId="11" fillId="0" borderId="0" xfId="0" applyFont="1" applyFill="1"/>
    <xf numFmtId="0" fontId="63" fillId="6" borderId="0" xfId="0" applyFont="1" applyFill="1"/>
    <xf numFmtId="0" fontId="11" fillId="0" borderId="0" xfId="0" applyFont="1" applyBorder="1"/>
    <xf numFmtId="0" fontId="11" fillId="0" borderId="0" xfId="0" applyFont="1"/>
    <xf numFmtId="0" fontId="11" fillId="0" borderId="36" xfId="0" applyFont="1" applyBorder="1"/>
    <xf numFmtId="0" fontId="11" fillId="0" borderId="37" xfId="0" applyFont="1" applyBorder="1"/>
    <xf numFmtId="0" fontId="11" fillId="0" borderId="43" xfId="0" applyFont="1" applyBorder="1"/>
    <xf numFmtId="0" fontId="11" fillId="0" borderId="44" xfId="0" applyFont="1" applyFill="1" applyBorder="1"/>
    <xf numFmtId="0" fontId="11" fillId="0" borderId="47" xfId="0" applyFont="1" applyFill="1" applyBorder="1"/>
    <xf numFmtId="0" fontId="11" fillId="0" borderId="45" xfId="0" applyFont="1" applyFill="1" applyBorder="1"/>
    <xf numFmtId="0" fontId="11" fillId="0" borderId="0" xfId="0" applyFont="1" applyFill="1" applyBorder="1"/>
    <xf numFmtId="168" fontId="11" fillId="0" borderId="38" xfId="0" applyNumberFormat="1" applyFont="1" applyFill="1" applyBorder="1"/>
    <xf numFmtId="168" fontId="11" fillId="0" borderId="0" xfId="0" applyNumberFormat="1" applyFont="1" applyFill="1" applyBorder="1"/>
    <xf numFmtId="168" fontId="11" fillId="0" borderId="39" xfId="0" applyNumberFormat="1" applyFont="1" applyFill="1" applyBorder="1"/>
    <xf numFmtId="168" fontId="11" fillId="0" borderId="44" xfId="0" applyNumberFormat="1" applyFont="1" applyFill="1" applyBorder="1"/>
    <xf numFmtId="168" fontId="11" fillId="0" borderId="47" xfId="0" applyNumberFormat="1" applyFont="1" applyFill="1" applyBorder="1"/>
    <xf numFmtId="168" fontId="11" fillId="0" borderId="45" xfId="0" applyNumberFormat="1" applyFont="1" applyFill="1" applyBorder="1"/>
    <xf numFmtId="168" fontId="11" fillId="0" borderId="38" xfId="0" applyNumberFormat="1" applyFont="1" applyFill="1" applyBorder="1" applyAlignment="1">
      <alignment horizontal="right"/>
    </xf>
    <xf numFmtId="168" fontId="11" fillId="0" borderId="0" xfId="0" applyNumberFormat="1" applyFont="1" applyFill="1" applyBorder="1" applyAlignment="1">
      <alignment horizontal="right"/>
    </xf>
    <xf numFmtId="168" fontId="11" fillId="0" borderId="39" xfId="0" applyNumberFormat="1" applyFont="1" applyFill="1" applyBorder="1" applyAlignment="1">
      <alignment horizontal="right"/>
    </xf>
    <xf numFmtId="0" fontId="11" fillId="0" borderId="44" xfId="0" applyFont="1" applyFill="1" applyBorder="1" applyAlignment="1">
      <alignment horizontal="right"/>
    </xf>
    <xf numFmtId="0" fontId="11" fillId="0" borderId="47" xfId="0" applyFont="1" applyFill="1" applyBorder="1" applyAlignment="1">
      <alignment horizontal="right"/>
    </xf>
    <xf numFmtId="169" fontId="11" fillId="0" borderId="48" xfId="0" applyNumberFormat="1" applyFont="1" applyFill="1" applyBorder="1"/>
    <xf numFmtId="169" fontId="11" fillId="0" borderId="1" xfId="0" applyNumberFormat="1" applyFont="1" applyFill="1" applyBorder="1"/>
    <xf numFmtId="1" fontId="11" fillId="0" borderId="49" xfId="0" applyNumberFormat="1" applyFont="1" applyFill="1" applyBorder="1"/>
    <xf numFmtId="0" fontId="11" fillId="0" borderId="38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2" fontId="11" fillId="0" borderId="38" xfId="0" applyNumberFormat="1" applyFont="1" applyFill="1" applyBorder="1" applyAlignment="1">
      <alignment horizontal="right"/>
    </xf>
    <xf numFmtId="169" fontId="11" fillId="0" borderId="38" xfId="0" applyNumberFormat="1" applyFont="1" applyFill="1" applyBorder="1"/>
    <xf numFmtId="169" fontId="11" fillId="0" borderId="0" xfId="0" applyNumberFormat="1" applyFont="1" applyFill="1" applyBorder="1"/>
    <xf numFmtId="1" fontId="11" fillId="0" borderId="39" xfId="0" applyNumberFormat="1" applyFont="1" applyFill="1" applyBorder="1"/>
    <xf numFmtId="168" fontId="11" fillId="6" borderId="38" xfId="0" applyNumberFormat="1" applyFont="1" applyFill="1" applyBorder="1"/>
    <xf numFmtId="168" fontId="11" fillId="6" borderId="0" xfId="0" applyNumberFormat="1" applyFont="1" applyFill="1" applyBorder="1"/>
    <xf numFmtId="168" fontId="11" fillId="6" borderId="39" xfId="0" applyNumberFormat="1" applyFont="1" applyFill="1" applyBorder="1"/>
    <xf numFmtId="0" fontId="11" fillId="6" borderId="38" xfId="0" applyFont="1" applyFill="1" applyBorder="1" applyAlignment="1">
      <alignment horizontal="right"/>
    </xf>
    <xf numFmtId="0" fontId="11" fillId="6" borderId="0" xfId="0" applyFont="1" applyFill="1" applyBorder="1" applyAlignment="1">
      <alignment horizontal="right"/>
    </xf>
    <xf numFmtId="0" fontId="11" fillId="6" borderId="39" xfId="0" applyFont="1" applyFill="1" applyBorder="1" applyAlignment="1">
      <alignment horizontal="right"/>
    </xf>
    <xf numFmtId="2" fontId="11" fillId="6" borderId="38" xfId="0" applyNumberFormat="1" applyFont="1" applyFill="1" applyBorder="1" applyAlignment="1">
      <alignment horizontal="right"/>
    </xf>
    <xf numFmtId="169" fontId="11" fillId="6" borderId="38" xfId="0" applyNumberFormat="1" applyFont="1" applyFill="1" applyBorder="1"/>
    <xf numFmtId="169" fontId="11" fillId="6" borderId="0" xfId="0" applyNumberFormat="1" applyFont="1" applyFill="1" applyBorder="1"/>
    <xf numFmtId="169" fontId="11" fillId="6" borderId="39" xfId="0" applyNumberFormat="1" applyFont="1" applyFill="1" applyBorder="1"/>
    <xf numFmtId="0" fontId="11" fillId="6" borderId="0" xfId="0" applyFont="1" applyFill="1"/>
    <xf numFmtId="0" fontId="11" fillId="0" borderId="39" xfId="0" applyFont="1" applyFill="1" applyBorder="1" applyAlignment="1">
      <alignment horizontal="right"/>
    </xf>
    <xf numFmtId="0" fontId="11" fillId="6" borderId="38" xfId="0" applyFont="1" applyFill="1" applyBorder="1"/>
    <xf numFmtId="0" fontId="11" fillId="6" borderId="0" xfId="0" applyFont="1" applyFill="1" applyBorder="1"/>
    <xf numFmtId="2" fontId="11" fillId="6" borderId="38" xfId="0" applyNumberFormat="1" applyFont="1" applyFill="1" applyBorder="1"/>
    <xf numFmtId="1" fontId="11" fillId="6" borderId="39" xfId="0" applyNumberFormat="1" applyFont="1" applyFill="1" applyBorder="1"/>
    <xf numFmtId="2" fontId="11" fillId="0" borderId="38" xfId="0" applyNumberFormat="1" applyFont="1" applyFill="1" applyBorder="1"/>
    <xf numFmtId="2" fontId="11" fillId="0" borderId="0" xfId="0" applyNumberFormat="1" applyFont="1" applyFill="1" applyBorder="1" applyAlignment="1">
      <alignment horizontal="right"/>
    </xf>
    <xf numFmtId="2" fontId="11" fillId="0" borderId="39" xfId="0" applyNumberFormat="1" applyFont="1" applyFill="1" applyBorder="1" applyAlignment="1">
      <alignment horizontal="right"/>
    </xf>
    <xf numFmtId="168" fontId="11" fillId="0" borderId="38" xfId="0" applyNumberFormat="1" applyFont="1" applyFill="1" applyBorder="1" applyAlignment="1"/>
    <xf numFmtId="168" fontId="11" fillId="0" borderId="0" xfId="0" applyNumberFormat="1" applyFont="1" applyFill="1" applyBorder="1" applyAlignment="1"/>
    <xf numFmtId="2" fontId="11" fillId="0" borderId="38" xfId="0" applyNumberFormat="1" applyFont="1" applyFill="1" applyBorder="1" applyAlignment="1"/>
    <xf numFmtId="168" fontId="11" fillId="0" borderId="40" xfId="0" applyNumberFormat="1" applyFont="1" applyFill="1" applyBorder="1"/>
    <xf numFmtId="168" fontId="11" fillId="0" borderId="41" xfId="0" applyNumberFormat="1" applyFont="1" applyFill="1" applyBorder="1"/>
    <xf numFmtId="168" fontId="11" fillId="0" borderId="42" xfId="0" applyNumberFormat="1" applyFont="1" applyFill="1" applyBorder="1"/>
    <xf numFmtId="0" fontId="11" fillId="0" borderId="40" xfId="0" applyFont="1" applyFill="1" applyBorder="1" applyAlignment="1">
      <alignment horizontal="right"/>
    </xf>
    <xf numFmtId="0" fontId="11" fillId="0" borderId="41" xfId="0" applyFont="1" applyFill="1" applyBorder="1" applyAlignment="1">
      <alignment horizontal="right"/>
    </xf>
    <xf numFmtId="0" fontId="11" fillId="0" borderId="42" xfId="0" applyFont="1" applyFill="1" applyBorder="1" applyAlignment="1">
      <alignment horizontal="right"/>
    </xf>
    <xf numFmtId="2" fontId="11" fillId="0" borderId="40" xfId="0" applyNumberFormat="1" applyFont="1" applyFill="1" applyBorder="1" applyAlignment="1">
      <alignment horizontal="right"/>
    </xf>
    <xf numFmtId="169" fontId="11" fillId="0" borderId="40" xfId="0" applyNumberFormat="1" applyFont="1" applyFill="1" applyBorder="1"/>
    <xf numFmtId="169" fontId="11" fillId="0" borderId="41" xfId="0" applyNumberFormat="1" applyFont="1" applyFill="1" applyBorder="1"/>
    <xf numFmtId="1" fontId="11" fillId="0" borderId="42" xfId="0" applyNumberFormat="1" applyFont="1" applyFill="1" applyBorder="1"/>
    <xf numFmtId="169" fontId="11" fillId="0" borderId="49" xfId="0" applyNumberFormat="1" applyFont="1" applyFill="1" applyBorder="1"/>
    <xf numFmtId="169" fontId="11" fillId="0" borderId="39" xfId="0" applyNumberFormat="1" applyFont="1" applyFill="1" applyBorder="1"/>
    <xf numFmtId="169" fontId="11" fillId="0" borderId="42" xfId="0" applyNumberFormat="1" applyFont="1" applyFill="1" applyBorder="1"/>
    <xf numFmtId="166" fontId="54" fillId="0" borderId="6" xfId="1" applyNumberFormat="1" applyFont="1" applyBorder="1" applyAlignment="1" applyProtection="1">
      <alignment vertical="top" wrapText="1"/>
      <protection hidden="1"/>
    </xf>
    <xf numFmtId="0" fontId="54" fillId="0" borderId="12" xfId="0" applyFont="1" applyBorder="1" applyAlignment="1">
      <alignment vertical="top" wrapText="1"/>
    </xf>
    <xf numFmtId="0" fontId="22" fillId="0" borderId="44" xfId="0" applyFont="1" applyBorder="1" applyAlignment="1">
      <alignment horizontal="center"/>
    </xf>
    <xf numFmtId="0" fontId="22" fillId="0" borderId="47" xfId="0" applyFont="1" applyBorder="1" applyAlignment="1">
      <alignment horizontal="center"/>
    </xf>
    <xf numFmtId="0" fontId="22" fillId="0" borderId="45" xfId="0" applyFont="1" applyBorder="1" applyAlignment="1">
      <alignment horizontal="center"/>
    </xf>
    <xf numFmtId="0" fontId="15" fillId="0" borderId="11" xfId="0" applyFont="1" applyFill="1" applyBorder="1" applyAlignment="1" applyProtection="1">
      <alignment horizontal="center"/>
      <protection hidden="1"/>
    </xf>
    <xf numFmtId="0" fontId="15" fillId="0" borderId="4" xfId="0" applyFont="1" applyFill="1" applyBorder="1" applyAlignment="1" applyProtection="1">
      <alignment horizontal="center"/>
      <protection hidden="1"/>
    </xf>
    <xf numFmtId="0" fontId="15" fillId="0" borderId="6" xfId="0" applyFont="1" applyFill="1" applyBorder="1" applyAlignment="1" applyProtection="1">
      <alignment horizontal="center"/>
      <protection hidden="1"/>
    </xf>
    <xf numFmtId="0" fontId="15" fillId="0" borderId="0" xfId="0" applyFont="1" applyFill="1" applyBorder="1" applyAlignment="1" applyProtection="1">
      <alignment horizontal="center"/>
      <protection hidden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G71"/>
  <sheetViews>
    <sheetView showGridLines="0" tabSelected="1" zoomScaleNormal="100" workbookViewId="0">
      <selection activeCell="D14" sqref="D14"/>
    </sheetView>
  </sheetViews>
  <sheetFormatPr defaultColWidth="9.140625" defaultRowHeight="12.75" x14ac:dyDescent="0.2"/>
  <cols>
    <col min="1" max="1" width="6.140625" style="3" customWidth="1"/>
    <col min="2" max="2" width="9.140625" style="3"/>
    <col min="3" max="3" width="15.140625" style="3" customWidth="1"/>
    <col min="4" max="4" width="33.140625" style="3" customWidth="1"/>
    <col min="5" max="5" width="21.140625" style="3" customWidth="1"/>
    <col min="6" max="6" width="16.42578125" style="3" customWidth="1"/>
    <col min="7" max="7" width="21" style="3" customWidth="1"/>
    <col min="8" max="8" width="16.42578125" style="3" customWidth="1"/>
    <col min="9" max="9" width="10.140625" style="3" bestFit="1" customWidth="1"/>
    <col min="10" max="10" width="10.42578125" style="3" bestFit="1" customWidth="1"/>
    <col min="11" max="16384" width="9.140625" style="3"/>
  </cols>
  <sheetData>
    <row r="1" spans="1:7" ht="6.75" customHeight="1" x14ac:dyDescent="0.2"/>
    <row r="2" spans="1:7" ht="16.5" customHeight="1" x14ac:dyDescent="0.3">
      <c r="B2" s="12" t="s">
        <v>121</v>
      </c>
    </row>
    <row r="3" spans="1:7" ht="9.75" customHeight="1" x14ac:dyDescent="0.2"/>
    <row r="4" spans="1:7" ht="15.75" x14ac:dyDescent="0.25">
      <c r="C4" s="105" t="s">
        <v>41</v>
      </c>
      <c r="D4" s="160"/>
      <c r="E4" s="105" t="s">
        <v>42</v>
      </c>
      <c r="F4" s="161" t="s">
        <v>106</v>
      </c>
    </row>
    <row r="5" spans="1:7" ht="3.75" customHeight="1" x14ac:dyDescent="0.2">
      <c r="F5" s="106"/>
      <c r="G5" s="106"/>
    </row>
    <row r="6" spans="1:7" ht="2.25" hidden="1" customHeight="1" x14ac:dyDescent="0.2">
      <c r="F6" s="106"/>
      <c r="G6" s="106"/>
    </row>
    <row r="7" spans="1:7" ht="3" hidden="1" customHeight="1" x14ac:dyDescent="0.25">
      <c r="C7" s="105"/>
      <c r="D7" s="105"/>
      <c r="E7" s="106"/>
      <c r="F7" s="106"/>
      <c r="G7" s="106"/>
    </row>
    <row r="8" spans="1:7" ht="15.75" x14ac:dyDescent="0.25">
      <c r="C8" s="105" t="s">
        <v>43</v>
      </c>
      <c r="D8" s="159">
        <f ca="1">TODAY()</f>
        <v>44020</v>
      </c>
      <c r="G8" s="106"/>
    </row>
    <row r="9" spans="1:7" ht="3.75" customHeight="1" x14ac:dyDescent="0.2"/>
    <row r="10" spans="1:7" ht="15" x14ac:dyDescent="0.2">
      <c r="B10" s="17"/>
      <c r="C10" s="18" t="s">
        <v>46</v>
      </c>
      <c r="D10" s="158">
        <v>56000</v>
      </c>
      <c r="E10" s="5" t="s">
        <v>47</v>
      </c>
      <c r="G10" s="17"/>
    </row>
    <row r="11" spans="1:7" ht="3.75" customHeight="1" x14ac:dyDescent="0.25">
      <c r="B11" s="23"/>
      <c r="C11" s="17"/>
      <c r="D11" s="17">
        <v>160000</v>
      </c>
      <c r="E11" s="107"/>
      <c r="F11" s="5"/>
      <c r="G11" s="17"/>
    </row>
    <row r="12" spans="1:7" ht="15.75" x14ac:dyDescent="0.25">
      <c r="C12" s="18" t="s">
        <v>33</v>
      </c>
      <c r="D12" s="153">
        <v>1</v>
      </c>
      <c r="E12" s="5" t="s">
        <v>39</v>
      </c>
      <c r="G12" s="17"/>
    </row>
    <row r="13" spans="1:7" ht="3" customHeight="1" x14ac:dyDescent="0.25">
      <c r="C13" s="18"/>
      <c r="D13" s="145">
        <v>0.5</v>
      </c>
      <c r="E13" s="5"/>
      <c r="G13" s="17"/>
    </row>
    <row r="14" spans="1:7" ht="15.75" x14ac:dyDescent="0.25">
      <c r="C14" s="18" t="s">
        <v>82</v>
      </c>
      <c r="D14" s="110" t="s">
        <v>80</v>
      </c>
      <c r="E14" s="5"/>
      <c r="G14" s="17"/>
    </row>
    <row r="15" spans="1:7" ht="3.75" customHeight="1" x14ac:dyDescent="0.2">
      <c r="B15" s="17"/>
      <c r="C15" s="17"/>
      <c r="D15" s="17"/>
      <c r="E15" s="17"/>
      <c r="F15" s="17"/>
      <c r="G15" s="17"/>
    </row>
    <row r="16" spans="1:7" ht="15" x14ac:dyDescent="0.2">
      <c r="A16" s="17"/>
      <c r="B16" s="26" t="s">
        <v>34</v>
      </c>
      <c r="C16" s="148"/>
      <c r="D16" s="151"/>
      <c r="E16" s="27" t="s">
        <v>44</v>
      </c>
      <c r="F16" s="108"/>
      <c r="G16" s="109"/>
    </row>
    <row r="17" spans="1:7" ht="15" x14ac:dyDescent="0.2">
      <c r="A17" s="17"/>
      <c r="B17" s="28"/>
      <c r="C17" s="29"/>
      <c r="D17" s="30" t="s">
        <v>45</v>
      </c>
      <c r="E17" s="149" t="s">
        <v>0</v>
      </c>
      <c r="F17" s="24" t="s">
        <v>1</v>
      </c>
      <c r="G17" s="30" t="s">
        <v>2</v>
      </c>
    </row>
    <row r="18" spans="1:7" ht="2.25" customHeight="1" x14ac:dyDescent="0.2">
      <c r="A18" s="17"/>
      <c r="B18" s="31"/>
      <c r="C18" s="32"/>
      <c r="D18" s="152"/>
      <c r="E18" s="150"/>
      <c r="F18" s="25"/>
      <c r="G18" s="33"/>
    </row>
    <row r="19" spans="1:7" ht="15" x14ac:dyDescent="0.2">
      <c r="A19" s="17"/>
      <c r="B19" s="31" t="s">
        <v>35</v>
      </c>
      <c r="C19" s="32"/>
      <c r="D19" s="152"/>
      <c r="E19" s="150"/>
      <c r="F19" s="25"/>
      <c r="G19" s="33"/>
    </row>
    <row r="20" spans="1:7" ht="16.5" customHeight="1" x14ac:dyDescent="0.2">
      <c r="A20" s="17"/>
      <c r="B20" s="31"/>
      <c r="C20" s="228" t="s">
        <v>11</v>
      </c>
      <c r="D20" s="229" t="s">
        <v>4</v>
      </c>
      <c r="E20" s="230">
        <f>IF($D20="Single",IF('Health Plans'!H8="N/A","Not Eligible",'Health Plans'!H8),IF($D20="Family",IF('Health Plans'!H10="N/A","Not Eligible",'Health Plans'!H10),0))</f>
        <v>66.8</v>
      </c>
      <c r="F20" s="231">
        <f>IF($D20="Single",IF('Health Plans'!I8="N/A","Not Eligible",'Health Plans'!I8),IF($D20="Family",IF('Health Plans'!I10="N/A","Not Eligible",'Health Plans'!I10),0))</f>
        <v>22.299999999999997</v>
      </c>
      <c r="G20" s="232">
        <f>IF(ISERROR(E20+F20),"Not Eligible",E20+F20)</f>
        <v>89.1</v>
      </c>
    </row>
    <row r="21" spans="1:7" ht="16.5" customHeight="1" x14ac:dyDescent="0.2">
      <c r="A21" s="17"/>
      <c r="B21" s="31"/>
      <c r="C21" s="233" t="s">
        <v>13</v>
      </c>
      <c r="D21" s="234" t="s">
        <v>4</v>
      </c>
      <c r="E21" s="236">
        <f>IF($D21="Single",IF('Health Plans'!H14="N/A","Not Eligible",'Health Plans'!H14),IF($D21="Family",IF('Health Plans'!H16="N/A","Not Eligible",'Health Plans'!H16),0))</f>
        <v>65.88</v>
      </c>
      <c r="F21" s="237">
        <f>IF($D21="Single",IF('Health Plans'!I14="N/A","Not Eligible",'Health Plans'!I14),IF($D21="Family",IF('Health Plans'!I16="N/A","Not Eligible",'Health Plans'!I16),0))</f>
        <v>16.460000000000008</v>
      </c>
      <c r="G21" s="235">
        <f>IF(ISERROR(E21+F21),"Not Eligible",E21+F21)</f>
        <v>82.34</v>
      </c>
    </row>
    <row r="22" spans="1:7" ht="18" customHeight="1" x14ac:dyDescent="0.2">
      <c r="A22" s="17"/>
      <c r="B22" s="31"/>
      <c r="C22" s="233" t="s">
        <v>14</v>
      </c>
      <c r="D22" s="234" t="s">
        <v>102</v>
      </c>
      <c r="E22" s="236">
        <f>IF($D22="Single",IF('Health Plans'!H20="N/A","Not Applicable",'Health Plans'!H20),IF($D22="Family",IF('Health Plans'!H22="N/A","Not Applicable",'Health Plans'!H22),0))</f>
        <v>0</v>
      </c>
      <c r="F22" s="237">
        <f>IF($D22="Single",IF('Health Plans'!I20="N/A","Not Applicable",'Health Plans'!I20),IF($D22="Family",IF('Health Plans'!I22="N/A","Not Applicable",'Health Plans'!I22),0))</f>
        <v>0</v>
      </c>
      <c r="G22" s="235">
        <f>IF(ISERROR(E22+F22),"Not Applicable",E22+F22)</f>
        <v>0</v>
      </c>
    </row>
    <row r="23" spans="1:7" ht="16.5" customHeight="1" x14ac:dyDescent="0.2">
      <c r="A23" s="17"/>
      <c r="B23" s="31"/>
      <c r="C23" s="233" t="s">
        <v>15</v>
      </c>
      <c r="D23" s="234" t="s">
        <v>5</v>
      </c>
      <c r="E23" s="236">
        <f>IF($D23="Single",IF('Health Plans'!H26="N/A","Not Eligible",'Health Plans'!H26),IF($D23="Family",IF('Health Plans'!H28="N/A","Not Eligible",'Health Plans'!H28),0))</f>
        <v>15.16</v>
      </c>
      <c r="F23" s="237">
        <f>IF($D23="Single",IF('Health Plans'!I26="N/A","Not Eligible",'Health Plans'!I26),IF($D23="Family",IF('Health Plans'!I28="N/A","Not Eligible",'Health Plans'!I28),0))</f>
        <v>15.16</v>
      </c>
      <c r="G23" s="235">
        <f>IF(ISERROR(E23+F23),"Not Eligible",E23+F23)</f>
        <v>30.32</v>
      </c>
    </row>
    <row r="24" spans="1:7" ht="18" customHeight="1" x14ac:dyDescent="0.25">
      <c r="A24" s="17"/>
      <c r="B24" s="31" t="s">
        <v>16</v>
      </c>
      <c r="C24" s="233"/>
      <c r="D24" s="234" t="s">
        <v>108</v>
      </c>
      <c r="E24" s="288">
        <f>IF($D24="Plan A - St George ",('Joint Membership'!H9),IF($D24="Plan A - UTM",('Joint Membership'!H12),IF($D24="Plan A -UTSC",('Joint Membership'!H15),IF($D24="Plan B - U of T at Miss",'Joint Membership'!H18,IF($D24="Plan B -U of T at Scarb",('Joint Membership'!H21),IF($D24="Reject","Not Eligible"))))))</f>
        <v>33.76</v>
      </c>
      <c r="F24" s="237">
        <f>IF($D24="Plan A - St George ",('Joint Membership'!I9),IF($D24="Plan A - UTM",('Joint Membership'!I12),IF($D24="Plan A -UTSC",('Joint Membership'!I15),IF($D24="Plan B - U of T at Miss",'Joint Membership'!I18,IF($D24="Plan B -U of T at Scarb",('Joint Membership'!I21),IF($D24="Reject","Not Eligible"))))))</f>
        <v>63.48</v>
      </c>
      <c r="G24" s="235">
        <f>IF($D24="Plan A - St George ",('Joint Membership'!J9),IF($D24="Plan A - UTM",('Joint Membership'!J12),IF($D24="Plan A -UTSC",('Joint Membership'!J15),IF($D24="Plan B - U of T at Miss",'Joint Membership'!J18,IF($D24="Plan B -U of T at Scarb",('Joint Membership'!J21),IF($D24="Reject","Not Eligible"))))))</f>
        <v>97.24</v>
      </c>
    </row>
    <row r="25" spans="1:7" ht="14.25" customHeight="1" x14ac:dyDescent="0.2">
      <c r="A25" s="17"/>
      <c r="B25" s="31" t="s">
        <v>36</v>
      </c>
      <c r="C25" s="238"/>
      <c r="D25" s="234" t="s">
        <v>57</v>
      </c>
      <c r="E25" s="239">
        <f>IF(D25="Enroll",'Salary Related'!J9,0)</f>
        <v>44.67</v>
      </c>
      <c r="F25" s="237">
        <f>'Salary Related'!K9</f>
        <v>11.17</v>
      </c>
      <c r="G25" s="235">
        <f>'Salary Related'!L9</f>
        <v>55.84</v>
      </c>
    </row>
    <row r="26" spans="1:7" ht="15.75" x14ac:dyDescent="0.25">
      <c r="A26" s="17"/>
      <c r="B26" s="31" t="s">
        <v>37</v>
      </c>
      <c r="C26" s="240"/>
      <c r="D26" s="241" t="s">
        <v>120</v>
      </c>
      <c r="E26" s="242">
        <f>IF($D26="1X Optional",('Salary Related'!J11+'Salary Related'!J14),IF($D26="2X Optional",('Salary Related'!J11+'Salary Related'!J16),IF($D26="3X Optional",'Salary Related'!J11+'Salary Related'!J18,IF($D26="Basic+SIB",'Salary Related'!J11+'Salary Related'!J20,IF($D26="1X Optional+SIB",'Salary Related'!J11+'Salary Related'!J22,'Salary Related'!J11)))))</f>
        <v>7.12</v>
      </c>
      <c r="F26" s="243">
        <f>IF($D26="1X Optional",('Salary Related'!K11+'Salary Related'!K14),IF($D26="2X Optional",('Salary Related'!K11+'Salary Related'!K16),IF($D26="3X Optional",'Salary Related'!K11+'Salary Related'!K18,IF($D26="Basic+SIB",'Salary Related'!K11+'Salary Related'!K20,IF($D26="1X Optional+SIB",'Salary Related'!K11+'Salary Related'!K22,'Salary Related'!K11)))))</f>
        <v>3.56</v>
      </c>
      <c r="G26" s="244">
        <f>SUM('Salary Related'!L11:L22)</f>
        <v>10.68</v>
      </c>
    </row>
    <row r="27" spans="1:7" ht="15.75" x14ac:dyDescent="0.25">
      <c r="A27" s="17"/>
      <c r="B27" s="31" t="s">
        <v>26</v>
      </c>
      <c r="C27" s="245"/>
      <c r="D27" s="246" t="s">
        <v>57</v>
      </c>
      <c r="E27" s="247">
        <f>IF(D27="Enroll",'Salary Related'!J24,0)</f>
        <v>585.66666666666674</v>
      </c>
      <c r="F27" s="248">
        <f>'Salary Related'!K24</f>
        <v>429.33</v>
      </c>
      <c r="G27" s="249">
        <f>'Salary Related'!L24</f>
        <v>1014.9966666666667</v>
      </c>
    </row>
    <row r="28" spans="1:7" ht="19.5" customHeight="1" x14ac:dyDescent="0.3">
      <c r="A28" s="17"/>
      <c r="B28" s="250" t="s">
        <v>2</v>
      </c>
      <c r="C28" s="251"/>
      <c r="D28" s="252"/>
      <c r="E28" s="253">
        <f>SUM(E20:E27)</f>
        <v>819.05666666666673</v>
      </c>
      <c r="F28" s="254">
        <f>SUM(F20:F27)</f>
        <v>561.46</v>
      </c>
      <c r="G28" s="255">
        <f>SUM(G20:G27)</f>
        <v>1380.5166666666667</v>
      </c>
    </row>
    <row r="29" spans="1:7" ht="16.5" customHeight="1" x14ac:dyDescent="0.2">
      <c r="B29" s="163" t="s">
        <v>62</v>
      </c>
      <c r="C29" s="164"/>
      <c r="D29" s="164"/>
      <c r="E29" s="165">
        <f>E28-E27</f>
        <v>233.39</v>
      </c>
      <c r="F29" s="166">
        <f>IF(D27="Enroll",F28-F27,"Not Enrolled")</f>
        <v>132.13000000000005</v>
      </c>
      <c r="G29" s="166">
        <f>G28-G27</f>
        <v>365.52</v>
      </c>
    </row>
    <row r="30" spans="1:7" ht="18.75" customHeight="1" x14ac:dyDescent="0.2">
      <c r="B30" s="22" t="s">
        <v>58</v>
      </c>
      <c r="C30" s="15" t="s">
        <v>104</v>
      </c>
      <c r="D30" s="4"/>
      <c r="E30" s="4"/>
    </row>
    <row r="31" spans="1:7" ht="16.5" customHeight="1" x14ac:dyDescent="0.2">
      <c r="B31" s="22" t="s">
        <v>122</v>
      </c>
      <c r="C31" s="22"/>
    </row>
    <row r="32" spans="1:7" ht="13.5" customHeight="1" x14ac:dyDescent="0.2">
      <c r="B32" s="22" t="s">
        <v>52</v>
      </c>
      <c r="C32" s="22"/>
    </row>
    <row r="33" spans="1:5" ht="16.5" customHeight="1" x14ac:dyDescent="0.2">
      <c r="B33" s="22" t="s">
        <v>53</v>
      </c>
      <c r="C33" s="22"/>
      <c r="D33" s="22"/>
    </row>
    <row r="34" spans="1:5" ht="14.25" customHeight="1" x14ac:dyDescent="0.2">
      <c r="B34" s="22"/>
      <c r="C34" s="22" t="s">
        <v>123</v>
      </c>
    </row>
    <row r="35" spans="1:5" ht="21.75" customHeight="1" x14ac:dyDescent="0.2">
      <c r="A35" s="256" t="s">
        <v>55</v>
      </c>
      <c r="B35" s="256"/>
      <c r="C35" s="256"/>
    </row>
    <row r="36" spans="1:5" x14ac:dyDescent="0.2">
      <c r="A36" s="256"/>
      <c r="B36" s="256" t="s">
        <v>54</v>
      </c>
      <c r="C36" s="256"/>
    </row>
    <row r="37" spans="1:5" x14ac:dyDescent="0.2">
      <c r="A37" s="256"/>
      <c r="B37" s="256" t="s">
        <v>103</v>
      </c>
      <c r="C37" s="256"/>
    </row>
    <row r="40" spans="1:5" hidden="1" x14ac:dyDescent="0.2"/>
    <row r="41" spans="1:5" hidden="1" x14ac:dyDescent="0.2"/>
    <row r="42" spans="1:5" hidden="1" x14ac:dyDescent="0.2">
      <c r="E42" s="281" t="s">
        <v>98</v>
      </c>
    </row>
    <row r="43" spans="1:5" hidden="1" x14ac:dyDescent="0.2">
      <c r="A43" t="str">
        <f>Lookups!A3</f>
        <v>Faculty/Librarian</v>
      </c>
      <c r="E43" s="3" t="str">
        <f>'Joint Membership'!B9</f>
        <v xml:space="preserve">Plan A - St George </v>
      </c>
    </row>
    <row r="44" spans="1:5" hidden="1" x14ac:dyDescent="0.2">
      <c r="A44" t="str">
        <f>Lookups!A4</f>
        <v>PM6-11</v>
      </c>
      <c r="E44" s="3" t="str">
        <f>'Joint Membership'!B12</f>
        <v>Plan A - UTM</v>
      </c>
    </row>
    <row r="45" spans="1:5" hidden="1" x14ac:dyDescent="0.2">
      <c r="A45" t="str">
        <f>Lookups!A6</f>
        <v>Confidential</v>
      </c>
      <c r="E45" s="3" t="str">
        <f>'Joint Membership'!B15</f>
        <v>Plan A -UTSC</v>
      </c>
    </row>
    <row r="46" spans="1:5" hidden="1" x14ac:dyDescent="0.2">
      <c r="A46" t="str">
        <f>Lookups!A7</f>
        <v>PM1-5</v>
      </c>
      <c r="E46" s="3" t="str">
        <f>'Joint Membership'!B18</f>
        <v>Plan B - U of T at Miss</v>
      </c>
    </row>
    <row r="47" spans="1:5" hidden="1" x14ac:dyDescent="0.2">
      <c r="A47" t="str">
        <f>Lookups!A9</f>
        <v>USW</v>
      </c>
      <c r="E47" s="3" t="str">
        <f>'Joint Membership'!B21</f>
        <v>Plan B -U of T at Scarb</v>
      </c>
    </row>
    <row r="48" spans="1:5" hidden="1" x14ac:dyDescent="0.2">
      <c r="A48" t="str">
        <f>Lookups!A10</f>
        <v>UNIFOR L2003</v>
      </c>
    </row>
    <row r="49" spans="1:4" hidden="1" x14ac:dyDescent="0.2">
      <c r="A49" t="str">
        <f>Lookups!A11</f>
        <v>CUPE L1230F/T - PT - Library Workers</v>
      </c>
    </row>
    <row r="50" spans="1:4" hidden="1" x14ac:dyDescent="0.2">
      <c r="A50" t="str">
        <f>Lookups!A12</f>
        <v>CUPE L3261 - 89 Chestnut - Hospitality workers</v>
      </c>
    </row>
    <row r="51" spans="1:4" hidden="1" x14ac:dyDescent="0.2">
      <c r="A51" t="str">
        <f>Lookups!A14</f>
        <v>CUPE L3261P/T - Service Workers</v>
      </c>
    </row>
    <row r="52" spans="1:4" hidden="1" x14ac:dyDescent="0.2">
      <c r="A52" t="str">
        <f>Lookups!A15</f>
        <v xml:space="preserve">IBEW L353 - Machinists </v>
      </c>
    </row>
    <row r="53" spans="1:4" hidden="1" x14ac:dyDescent="0.2">
      <c r="A53" t="str">
        <f>Lookups!A16</f>
        <v>IBEW L353 - Locksmiths</v>
      </c>
    </row>
    <row r="54" spans="1:4" hidden="1" x14ac:dyDescent="0.2">
      <c r="A54" t="str">
        <f>Lookups!A17</f>
        <v>OPSEU 519 - Campus Police</v>
      </c>
    </row>
    <row r="55" spans="1:4" hidden="1" x14ac:dyDescent="0.2">
      <c r="A55" t="str">
        <f>Lookups!A18</f>
        <v>OPSEU 578 - OISE Research Officers &amp; Associates</v>
      </c>
    </row>
    <row r="56" spans="1:4" hidden="1" x14ac:dyDescent="0.2">
      <c r="A56" s="3" t="str">
        <f>Lookups!A19</f>
        <v>IBEW L353 - Electricians</v>
      </c>
      <c r="D56"/>
    </row>
    <row r="57" spans="1:4" hidden="1" x14ac:dyDescent="0.2">
      <c r="A57" s="3" t="str">
        <f>Lookups!A20</f>
        <v>CUPE L2484</v>
      </c>
      <c r="D57"/>
    </row>
    <row r="58" spans="1:4" hidden="1" x14ac:dyDescent="0.2">
      <c r="A58" s="3" t="str">
        <f>Lookups!A21</f>
        <v>Research Associates</v>
      </c>
      <c r="D58"/>
    </row>
    <row r="59" spans="1:4" x14ac:dyDescent="0.2">
      <c r="D59"/>
    </row>
    <row r="60" spans="1:4" x14ac:dyDescent="0.2">
      <c r="A60" s="281" t="s">
        <v>124</v>
      </c>
      <c r="D60"/>
    </row>
    <row r="61" spans="1:4" x14ac:dyDescent="0.2">
      <c r="A61" s="281" t="s">
        <v>86</v>
      </c>
      <c r="D61"/>
    </row>
    <row r="62" spans="1:4" x14ac:dyDescent="0.2">
      <c r="A62" s="281" t="s">
        <v>87</v>
      </c>
      <c r="D62"/>
    </row>
    <row r="63" spans="1:4" x14ac:dyDescent="0.2">
      <c r="D63"/>
    </row>
    <row r="64" spans="1:4" x14ac:dyDescent="0.2">
      <c r="D64"/>
    </row>
    <row r="65" spans="4:4" x14ac:dyDescent="0.2">
      <c r="D65"/>
    </row>
    <row r="66" spans="4:4" x14ac:dyDescent="0.2">
      <c r="D66"/>
    </row>
    <row r="67" spans="4:4" x14ac:dyDescent="0.2">
      <c r="D67"/>
    </row>
    <row r="68" spans="4:4" x14ac:dyDescent="0.2">
      <c r="D68"/>
    </row>
    <row r="69" spans="4:4" x14ac:dyDescent="0.2">
      <c r="D69"/>
    </row>
    <row r="70" spans="4:4" x14ac:dyDescent="0.2">
      <c r="D70"/>
    </row>
    <row r="71" spans="4:4" x14ac:dyDescent="0.2">
      <c r="D71"/>
    </row>
  </sheetData>
  <phoneticPr fontId="0" type="noConversion"/>
  <dataValidations xWindow="331" yWindow="199" count="11">
    <dataValidation type="whole" allowBlank="1" showInputMessage="1" showErrorMessage="1" errorTitle="Invalid Number" error="Must be a number between $5,000 and $500,000" promptTitle="Annual Salary " prompt="For Part-time or term appointments, enter the Actual Monthly Salary paid * 12 months" sqref="D10" xr:uid="{00000000-0002-0000-0000-000000000000}">
      <formula1>5000</formula1>
      <formula2>500000</formula2>
    </dataValidation>
    <dataValidation type="decimal" allowBlank="1" showInputMessage="1" showErrorMessage="1" promptTitle="Part-time" prompt="Must be between 25% and 100 % to be eligible for benefits_x000a_" sqref="D13" xr:uid="{00000000-0002-0000-0000-000001000000}">
      <formula1>0.25</formula1>
      <formula2>1</formula2>
    </dataValidation>
    <dataValidation type="decimal" allowBlank="1" showInputMessage="1" showErrorMessage="1" errorTitle="Enter as a Decimal" error="The number should be between .25 and 1.0" promptTitle="Part-time" prompt="Must be between 0.25 and 1.00 to be eligible for benefit plans_x000a_" sqref="D12" xr:uid="{00000000-0002-0000-0000-000002000000}">
      <formula1>0.25</formula1>
      <formula2>1</formula2>
    </dataValidation>
    <dataValidation type="list" allowBlank="1" showInputMessage="1" sqref="D20" xr:uid="{00000000-0002-0000-0000-000003000000}">
      <formula1>"Single, Family, Reject, Exempt"</formula1>
    </dataValidation>
    <dataValidation type="list" allowBlank="1" showInputMessage="1" showErrorMessage="1" sqref="D21 D23" xr:uid="{00000000-0002-0000-0000-000004000000}">
      <formula1>"Single, Family, Exempt, Reject"</formula1>
    </dataValidation>
    <dataValidation type="list" allowBlank="1" showInputMessage="1" showErrorMessage="1" sqref="D22" xr:uid="{00000000-0002-0000-0000-000005000000}">
      <formula1>"Single, Family, Reject, Exempt"</formula1>
    </dataValidation>
    <dataValidation type="list" allowBlank="1" showInputMessage="1" showErrorMessage="1" sqref="D25" xr:uid="{00000000-0002-0000-0000-000006000000}">
      <formula1>"Enroll, Reject"</formula1>
    </dataValidation>
    <dataValidation type="list" allowBlank="1" showInputMessage="1" showErrorMessage="1" sqref="D26" xr:uid="{00000000-0002-0000-0000-000007000000}">
      <formula1>"Basic Only,1X Optional,2X Optional,3X Optional,Basic+SIB,1X Optional+SIB"</formula1>
    </dataValidation>
    <dataValidation type="list" allowBlank="1" showInputMessage="1" showErrorMessage="1" sqref="D27" xr:uid="{00000000-0002-0000-0000-000008000000}">
      <formula1>"Enroll, Reject, Member Pending"</formula1>
    </dataValidation>
    <dataValidation type="list" allowBlank="1" showErrorMessage="1" prompt="Please Select Yes if a faculty member or librarian_x000a__x000a_" sqref="D14" xr:uid="{00000000-0002-0000-0000-000009000000}">
      <formula1>$A$43:$A$58</formula1>
    </dataValidation>
    <dataValidation type="list" allowBlank="1" showInputMessage="1" showErrorMessage="1" sqref="D24" xr:uid="{00000000-0002-0000-0000-00000A000000}">
      <formula1>$E$42:$E$47</formula1>
    </dataValidation>
  </dataValidations>
  <pageMargins left="0.75" right="0.75" top="1" bottom="1" header="0.5" footer="0.5"/>
  <pageSetup scale="8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 fitToPage="1"/>
  </sheetPr>
  <dimension ref="B1:J36"/>
  <sheetViews>
    <sheetView showGridLines="0" workbookViewId="0">
      <selection activeCell="E47" sqref="E47"/>
    </sheetView>
  </sheetViews>
  <sheetFormatPr defaultRowHeight="12.75" x14ac:dyDescent="0.2"/>
  <cols>
    <col min="1" max="1" width="8.85546875" customWidth="1"/>
    <col min="2" max="2" width="14.140625" customWidth="1"/>
    <col min="3" max="3" width="8.85546875" customWidth="1"/>
    <col min="4" max="4" width="10.140625" customWidth="1"/>
    <col min="5" max="5" width="10.42578125" customWidth="1"/>
    <col min="6" max="6" width="10.5703125" customWidth="1"/>
    <col min="7" max="7" width="11.42578125" customWidth="1"/>
    <col min="8" max="8" width="11.85546875" customWidth="1"/>
    <col min="9" max="9" width="13.42578125" customWidth="1"/>
    <col min="10" max="10" width="11.85546875" customWidth="1"/>
  </cols>
  <sheetData>
    <row r="1" spans="2:10" ht="3.75" customHeight="1" x14ac:dyDescent="0.2"/>
    <row r="2" spans="2:10" ht="3.75" customHeight="1" x14ac:dyDescent="0.2"/>
    <row r="3" spans="2:10" ht="18" x14ac:dyDescent="0.2">
      <c r="B3" s="268" t="s">
        <v>70</v>
      </c>
      <c r="C3" s="2"/>
      <c r="D3" s="2"/>
      <c r="E3" s="2"/>
      <c r="F3" s="2"/>
      <c r="G3" s="2"/>
      <c r="H3" s="2"/>
      <c r="I3" s="2"/>
      <c r="J3" s="2"/>
    </row>
    <row r="4" spans="2:10" x14ac:dyDescent="0.2">
      <c r="B4" s="4"/>
      <c r="C4" s="3"/>
      <c r="D4" s="3"/>
      <c r="E4" s="106"/>
      <c r="F4" s="187"/>
      <c r="G4" s="188"/>
      <c r="H4" s="187"/>
      <c r="I4" s="189"/>
      <c r="J4" s="190"/>
    </row>
    <row r="5" spans="2:10" ht="15.75" thickBot="1" x14ac:dyDescent="0.3">
      <c r="B5" s="111" t="s">
        <v>6</v>
      </c>
      <c r="C5" s="34"/>
      <c r="D5" s="111" t="s">
        <v>7</v>
      </c>
      <c r="E5" s="34"/>
      <c r="F5" s="35"/>
      <c r="G5" s="34"/>
      <c r="H5" s="112" t="s">
        <v>38</v>
      </c>
      <c r="I5" s="34"/>
      <c r="J5" s="35"/>
    </row>
    <row r="6" spans="2:10" ht="15.75" thickBot="1" x14ac:dyDescent="0.3">
      <c r="B6" s="113"/>
      <c r="C6" s="36"/>
      <c r="D6" s="264" t="str">
        <f>IF(Summary!D$14="Yes", "Faculty/Libarians Rates", " ")</f>
        <v xml:space="preserve"> </v>
      </c>
      <c r="E6" s="36"/>
      <c r="F6" s="37"/>
      <c r="G6" s="114"/>
      <c r="H6" s="115" t="s">
        <v>8</v>
      </c>
      <c r="I6" s="146">
        <f>Summary!D12</f>
        <v>1</v>
      </c>
      <c r="J6" s="37"/>
    </row>
    <row r="7" spans="2:10" ht="15.75" thickBot="1" x14ac:dyDescent="0.3">
      <c r="B7" s="116"/>
      <c r="C7" s="117"/>
      <c r="D7" s="118" t="s">
        <v>9</v>
      </c>
      <c r="E7" s="119" t="s">
        <v>10</v>
      </c>
      <c r="F7" s="120" t="s">
        <v>2</v>
      </c>
      <c r="G7" s="117" t="s">
        <v>27</v>
      </c>
      <c r="H7" s="118" t="s">
        <v>9</v>
      </c>
      <c r="I7" s="121" t="s">
        <v>10</v>
      </c>
      <c r="J7" s="122" t="s">
        <v>2</v>
      </c>
    </row>
    <row r="8" spans="2:10" ht="15.75" thickTop="1" x14ac:dyDescent="0.25">
      <c r="B8" s="123" t="s">
        <v>11</v>
      </c>
      <c r="C8" s="124" t="s">
        <v>4</v>
      </c>
      <c r="D8" s="275">
        <f>VLOOKUP(Summary!$D$14,rates,3,FALSE)</f>
        <v>66.8</v>
      </c>
      <c r="E8" s="276">
        <f>VLOOKUP(Summary!$D$14,rates,2,FALSE)</f>
        <v>22.3</v>
      </c>
      <c r="F8" s="215">
        <f>IF(ISERROR(D8+E8),"N/A",D8+E8)</f>
        <v>89.1</v>
      </c>
      <c r="G8" s="162">
        <f>IF(Summary!$D20="Single",1,0)</f>
        <v>1</v>
      </c>
      <c r="H8" s="211">
        <f>IF(F8="N/A",F8,ROUND(D8*$I$6,2))</f>
        <v>66.8</v>
      </c>
      <c r="I8" s="214">
        <f>IF(H8="N/A","N/A",F8-H8)</f>
        <v>22.299999999999997</v>
      </c>
      <c r="J8" s="215">
        <f>IF(I8="N/A","N/A",H8+I8)</f>
        <v>89.1</v>
      </c>
    </row>
    <row r="9" spans="2:10" ht="4.5" customHeight="1" x14ac:dyDescent="0.25">
      <c r="B9" s="125"/>
      <c r="C9" s="38"/>
      <c r="D9" s="211"/>
      <c r="E9" s="262"/>
      <c r="F9" s="135"/>
      <c r="G9" s="127"/>
      <c r="H9" s="134"/>
      <c r="I9" s="217"/>
      <c r="J9" s="137"/>
    </row>
    <row r="10" spans="2:10" ht="15" x14ac:dyDescent="0.25">
      <c r="B10" s="261" t="str">
        <f>IF(Summary!$D$14="YES","Fac/Lib Rate"," ")</f>
        <v xml:space="preserve"> </v>
      </c>
      <c r="C10" s="124" t="s">
        <v>5</v>
      </c>
      <c r="D10" s="211">
        <f>VLOOKUP(Summary!$D$14,rates,5,FALSE)</f>
        <v>240.78</v>
      </c>
      <c r="E10" s="262">
        <f>VLOOKUP(Summary!$D$14,rates,4,FALSE)</f>
        <v>80.239999999999995</v>
      </c>
      <c r="F10" s="215">
        <f>IF(ISERROR(D10+E10),"N/A",D10+E10)</f>
        <v>321.02</v>
      </c>
      <c r="G10" s="162">
        <f>IF(Summary!$D20="Family",1,0)</f>
        <v>0</v>
      </c>
      <c r="H10" s="211">
        <f>IF(F10="N/A",F10,ROUND(D10*$I$6,2))</f>
        <v>240.78</v>
      </c>
      <c r="I10" s="214">
        <f>IF(H10="N/A","N/A",F10-H10)</f>
        <v>80.239999999999981</v>
      </c>
      <c r="J10" s="215">
        <f>IF(I10="N/A","N/A",H10+I10)</f>
        <v>321.02</v>
      </c>
    </row>
    <row r="11" spans="2:10" ht="15" x14ac:dyDescent="0.25">
      <c r="B11" s="128"/>
      <c r="C11" s="129" t="s">
        <v>12</v>
      </c>
      <c r="D11" s="218">
        <v>0.75</v>
      </c>
      <c r="E11" s="219">
        <v>0.25</v>
      </c>
      <c r="F11" s="220">
        <v>1</v>
      </c>
      <c r="G11" s="130"/>
      <c r="H11" s="218">
        <f>(H8/J8)</f>
        <v>0.74971941638608308</v>
      </c>
      <c r="I11" s="221">
        <f>J11-H11</f>
        <v>0.25028058361391692</v>
      </c>
      <c r="J11" s="222">
        <v>1</v>
      </c>
    </row>
    <row r="12" spans="2:10" ht="1.5" customHeight="1" x14ac:dyDescent="0.25">
      <c r="B12" s="111"/>
      <c r="C12" s="34"/>
      <c r="D12" s="223"/>
      <c r="E12" s="224"/>
      <c r="F12" s="225"/>
      <c r="G12" s="131"/>
      <c r="H12" s="223"/>
      <c r="I12" s="226"/>
      <c r="J12" s="227"/>
    </row>
    <row r="13" spans="2:10" ht="3" hidden="1" customHeight="1" x14ac:dyDescent="0.25">
      <c r="B13" s="132"/>
      <c r="C13" s="133"/>
      <c r="D13" s="134"/>
      <c r="E13" s="133"/>
      <c r="F13" s="135"/>
      <c r="G13" s="127"/>
      <c r="H13" s="134"/>
      <c r="I13" s="136"/>
      <c r="J13" s="137"/>
    </row>
    <row r="14" spans="2:10" ht="15" x14ac:dyDescent="0.25">
      <c r="B14" s="123" t="s">
        <v>13</v>
      </c>
      <c r="C14" s="124" t="s">
        <v>4</v>
      </c>
      <c r="D14" s="211">
        <f>VLOOKUP(Summary!$D$14,rates,7,FALSE)</f>
        <v>65.88</v>
      </c>
      <c r="E14" s="262">
        <f>VLOOKUP(Summary!$D$14,rates,6,FALSE)</f>
        <v>16.46</v>
      </c>
      <c r="F14" s="215">
        <f>IF(ISERROR(D14+E14),"N/A",D14+E14)</f>
        <v>82.34</v>
      </c>
      <c r="G14" s="162">
        <f>IF(Summary!$D21="Single",1,0)</f>
        <v>1</v>
      </c>
      <c r="H14" s="211">
        <f>IF(F14="N/A",F14,ROUND(D14*$I$6,2))</f>
        <v>65.88</v>
      </c>
      <c r="I14" s="214">
        <f>IF(H14="N/A","N/A",F14-H14)</f>
        <v>16.460000000000008</v>
      </c>
      <c r="J14" s="215">
        <f>IF(I14="N/A","N/A",H14+I14)</f>
        <v>82.34</v>
      </c>
    </row>
    <row r="15" spans="2:10" ht="3.75" customHeight="1" x14ac:dyDescent="0.25">
      <c r="B15" s="125"/>
      <c r="C15" s="38"/>
      <c r="D15" s="134"/>
      <c r="E15" s="263"/>
      <c r="F15" s="137"/>
      <c r="G15" s="127"/>
      <c r="H15" s="134"/>
      <c r="I15" s="217"/>
      <c r="J15" s="137"/>
    </row>
    <row r="16" spans="2:10" ht="15" x14ac:dyDescent="0.25">
      <c r="B16" s="261" t="str">
        <f>IF(Summary!$D$14="YES","Fac/Lib Rate"," ")</f>
        <v xml:space="preserve"> </v>
      </c>
      <c r="C16" s="124" t="s">
        <v>5</v>
      </c>
      <c r="D16" s="211">
        <f>VLOOKUP(Summary!$D$14,rates,9,FALSE)</f>
        <v>154.46</v>
      </c>
      <c r="E16" s="262">
        <f>VLOOKUP(Summary!$D$14,rates,8,FALSE)</f>
        <v>38.64</v>
      </c>
      <c r="F16" s="215">
        <f>IF(ISERROR(D16+E16),"N/A",D16+E16)</f>
        <v>193.10000000000002</v>
      </c>
      <c r="G16" s="162">
        <f>IF(Summary!$D21="Family",1,0)</f>
        <v>0</v>
      </c>
      <c r="H16" s="211">
        <f>IF(F16="N/A",F16,ROUND(D16*$I$6,2))</f>
        <v>154.46</v>
      </c>
      <c r="I16" s="214">
        <f>IF(H16="N/A","N/A",F16-H16)</f>
        <v>38.640000000000015</v>
      </c>
      <c r="J16" s="215">
        <f>IF(I16="N/A","N/A",H16+I16)</f>
        <v>193.10000000000002</v>
      </c>
    </row>
    <row r="17" spans="2:10" ht="15" x14ac:dyDescent="0.25">
      <c r="B17" s="128"/>
      <c r="C17" s="129" t="s">
        <v>12</v>
      </c>
      <c r="D17" s="218">
        <v>0.8</v>
      </c>
      <c r="E17" s="219">
        <v>0.2</v>
      </c>
      <c r="F17" s="220">
        <v>1</v>
      </c>
      <c r="G17" s="130"/>
      <c r="H17" s="218">
        <f>(H14/J14)</f>
        <v>0.80009715812484805</v>
      </c>
      <c r="I17" s="221">
        <f>J17-H17</f>
        <v>0.19990284187515195</v>
      </c>
      <c r="J17" s="222">
        <v>1</v>
      </c>
    </row>
    <row r="18" spans="2:10" ht="2.25" customHeight="1" x14ac:dyDescent="0.25">
      <c r="B18" s="111"/>
      <c r="C18" s="34"/>
      <c r="D18" s="223"/>
      <c r="E18" s="224"/>
      <c r="F18" s="225"/>
      <c r="G18" s="131"/>
      <c r="H18" s="223"/>
      <c r="I18" s="226"/>
      <c r="J18" s="227"/>
    </row>
    <row r="19" spans="2:10" ht="2.25" hidden="1" customHeight="1" x14ac:dyDescent="0.25">
      <c r="B19" s="132"/>
      <c r="C19" s="133"/>
      <c r="D19" s="134"/>
      <c r="E19" s="133"/>
      <c r="F19" s="135"/>
      <c r="G19" s="127"/>
      <c r="H19" s="134"/>
      <c r="I19" s="136"/>
      <c r="J19" s="137"/>
    </row>
    <row r="20" spans="2:10" ht="15" x14ac:dyDescent="0.25">
      <c r="B20" s="123" t="s">
        <v>14</v>
      </c>
      <c r="C20" s="124" t="s">
        <v>4</v>
      </c>
      <c r="D20" s="211" t="str">
        <f>VLOOKUP(Summary!$D$14,rates,11,FALSE)</f>
        <v>N/A</v>
      </c>
      <c r="E20" s="212" t="str">
        <f>VLOOKUP(Summary!$D$14,rates,10,FALSE)</f>
        <v>N/A</v>
      </c>
      <c r="F20" s="213" t="str">
        <f>IF(ISERROR(D20+E20),"N/A",D20+E20)</f>
        <v>N/A</v>
      </c>
      <c r="G20" s="162">
        <f>IF(Summary!$D22="Single",0,0)</f>
        <v>0</v>
      </c>
      <c r="H20" s="211" t="str">
        <f>IF(F20="N/A",F20,ROUND(D20*$I$6,2))</f>
        <v>N/A</v>
      </c>
      <c r="I20" s="214" t="str">
        <f>IF(H20="N/A","N/A",F20-H20)</f>
        <v>N/A</v>
      </c>
      <c r="J20" s="215" t="str">
        <f>IF(I20="N/A","N/A",H20+I20)</f>
        <v>N/A</v>
      </c>
    </row>
    <row r="21" spans="2:10" ht="3.75" customHeight="1" x14ac:dyDescent="0.25">
      <c r="B21" s="125"/>
      <c r="C21" s="38"/>
      <c r="D21" s="134"/>
      <c r="E21" s="216"/>
      <c r="F21" s="135"/>
      <c r="G21" s="127"/>
      <c r="H21" s="134"/>
      <c r="I21" s="217"/>
      <c r="J21" s="137"/>
    </row>
    <row r="22" spans="2:10" ht="15" x14ac:dyDescent="0.25">
      <c r="B22" s="123"/>
      <c r="C22" s="124" t="s">
        <v>5</v>
      </c>
      <c r="D22" s="211" t="str">
        <f>VLOOKUP(Summary!$D$14,rates,13,FALSE)</f>
        <v>N/A</v>
      </c>
      <c r="E22" s="212" t="str">
        <f>VLOOKUP(Summary!$D$14,rates,12,FALSE)</f>
        <v>N/A</v>
      </c>
      <c r="F22" s="213" t="str">
        <f>IF(ISERROR(D22+E22),"N/A",D22+E22)</f>
        <v>N/A</v>
      </c>
      <c r="G22" s="162">
        <f>IF(Summary!$D22="Family",0,0)</f>
        <v>0</v>
      </c>
      <c r="H22" s="211" t="str">
        <f>IF(F22="N/A",F22,ROUND(D22*$I$6,2))</f>
        <v>N/A</v>
      </c>
      <c r="I22" s="214" t="str">
        <f>IF(H22="N/A","N/A",F22-H22)</f>
        <v>N/A</v>
      </c>
      <c r="J22" s="215" t="str">
        <f>IF(I22="N/A","N/A",H22+I22)</f>
        <v>N/A</v>
      </c>
    </row>
    <row r="23" spans="2:10" ht="15" x14ac:dyDescent="0.25">
      <c r="B23" s="128"/>
      <c r="C23" s="129" t="s">
        <v>12</v>
      </c>
      <c r="D23" s="218">
        <v>0.75</v>
      </c>
      <c r="E23" s="219">
        <v>0.25</v>
      </c>
      <c r="F23" s="220">
        <v>1</v>
      </c>
      <c r="G23" s="130"/>
      <c r="H23" s="214" t="str">
        <f>IF(H22="N/A","N/A",(H22/J22))</f>
        <v>N/A</v>
      </c>
      <c r="I23" s="214" t="str">
        <f>IF(H23="N/A","N/A",F23-H23)</f>
        <v>N/A</v>
      </c>
      <c r="J23" s="222">
        <v>1</v>
      </c>
    </row>
    <row r="24" spans="2:10" ht="2.25" customHeight="1" x14ac:dyDescent="0.25">
      <c r="B24" s="111"/>
      <c r="C24" s="34"/>
      <c r="D24" s="223"/>
      <c r="E24" s="224"/>
      <c r="F24" s="225"/>
      <c r="G24" s="131"/>
      <c r="H24" s="223"/>
      <c r="I24" s="226"/>
      <c r="J24" s="227"/>
    </row>
    <row r="25" spans="2:10" ht="12.75" customHeight="1" x14ac:dyDescent="0.25">
      <c r="B25" s="132"/>
      <c r="C25" s="133"/>
      <c r="D25" s="264" t="str">
        <f>IF(Summary!D$14="Yes", "Faculty/Libarians are not eligible for Vision Care plan", " ")</f>
        <v xml:space="preserve"> </v>
      </c>
      <c r="E25" s="133"/>
      <c r="F25" s="135"/>
      <c r="G25" s="127"/>
      <c r="H25" s="134"/>
      <c r="I25" s="136"/>
      <c r="J25" s="137"/>
    </row>
    <row r="26" spans="2:10" ht="15" x14ac:dyDescent="0.25">
      <c r="B26" s="123" t="s">
        <v>15</v>
      </c>
      <c r="C26" s="124" t="s">
        <v>4</v>
      </c>
      <c r="D26" s="211">
        <f>VLOOKUP(Summary!$D$14,rates,14,FALSE)</f>
        <v>5.68</v>
      </c>
      <c r="E26" s="262">
        <f>VLOOKUP(Summary!$D$14,rates,14,FALSE)</f>
        <v>5.68</v>
      </c>
      <c r="F26" s="215">
        <f>IF(ISERROR(D26+E26),"N/A",D26+E26)</f>
        <v>11.36</v>
      </c>
      <c r="G26" s="162">
        <f>IF(Summary!$D14="Yes",0,IF(D23="single",1,0))</f>
        <v>0</v>
      </c>
      <c r="H26" s="211">
        <f>IF(F26="N/A",F26,ROUND(D26*$I$6,2))</f>
        <v>5.68</v>
      </c>
      <c r="I26" s="214">
        <f>IF(H26="N/A","N/A",F26-H26)</f>
        <v>5.68</v>
      </c>
      <c r="J26" s="215">
        <f>IF(I26="N/A","N/A",H26+I26)</f>
        <v>11.36</v>
      </c>
    </row>
    <row r="27" spans="2:10" ht="3" customHeight="1" x14ac:dyDescent="0.25">
      <c r="B27" s="126"/>
      <c r="C27" s="38"/>
      <c r="D27" s="134"/>
      <c r="E27" s="263"/>
      <c r="F27" s="137"/>
      <c r="G27" s="127"/>
      <c r="H27" s="134"/>
      <c r="I27" s="217"/>
      <c r="J27" s="137"/>
    </row>
    <row r="28" spans="2:10" ht="15" x14ac:dyDescent="0.25">
      <c r="B28" s="358"/>
      <c r="C28" s="124" t="s">
        <v>5</v>
      </c>
      <c r="D28" s="211">
        <f>VLOOKUP(Summary!$D$14,rates,17,FALSE)</f>
        <v>15.16</v>
      </c>
      <c r="E28" s="262">
        <f>VLOOKUP(Summary!$D$14,rates,16,FALSE)</f>
        <v>15.16</v>
      </c>
      <c r="F28" s="215">
        <f>IF(ISERROR(D28+E28),"N/A",D28+E28)</f>
        <v>30.32</v>
      </c>
      <c r="G28" s="162">
        <f>IF(Summary!$D16="Yes",0,IF(D25="Family",1,0))</f>
        <v>0</v>
      </c>
      <c r="H28" s="211">
        <f>IF(F28="N/A",F28,ROUND(D28*$I$6,2))</f>
        <v>15.16</v>
      </c>
      <c r="I28" s="214">
        <f>IF(H28="N/A","N/A",F28-H28)</f>
        <v>15.16</v>
      </c>
      <c r="J28" s="215">
        <f>IF(I28="N/A","N/A",H28+I28)</f>
        <v>30.32</v>
      </c>
    </row>
    <row r="29" spans="2:10" ht="14.25" x14ac:dyDescent="0.2">
      <c r="B29" s="359"/>
      <c r="C29" s="129" t="s">
        <v>12</v>
      </c>
      <c r="D29" s="218">
        <v>0.5</v>
      </c>
      <c r="E29" s="219">
        <v>0.5</v>
      </c>
      <c r="F29" s="220">
        <v>1</v>
      </c>
      <c r="G29" s="138"/>
      <c r="H29" s="218">
        <f>IF(H26="N/A", "N/A",(H26/J26))</f>
        <v>0.5</v>
      </c>
      <c r="I29" s="221">
        <f>IF(H29="N/A","N/A",J29-H29)</f>
        <v>0.5</v>
      </c>
      <c r="J29" s="222">
        <f>IF(H29="N/A","N/A",100%)</f>
        <v>1</v>
      </c>
    </row>
    <row r="30" spans="2:10" ht="14.25" x14ac:dyDescent="0.2">
      <c r="D30" s="201"/>
      <c r="E30" s="194"/>
      <c r="F30" s="194"/>
      <c r="G30" s="168" t="s">
        <v>51</v>
      </c>
      <c r="H30" s="202"/>
      <c r="I30" s="203"/>
      <c r="J30" s="202"/>
    </row>
    <row r="31" spans="2:10" ht="14.25" x14ac:dyDescent="0.2">
      <c r="D31" s="201"/>
      <c r="E31" s="194"/>
      <c r="F31" s="204"/>
      <c r="G31" s="191" t="s">
        <v>4</v>
      </c>
      <c r="H31" s="191">
        <f>IF($G8&gt;0,IF($G8&lt;&gt;" ",$H8,0),0)+IF($G14&gt;0,IF($G14&lt;&gt;" ",$H14,0),0)+IF($G20&gt;0,IF($G20&lt;&gt;" ",$H20,0),0)+IF($G26&gt;0,IF($G26&lt;&gt;" ",$H26,0),0)</f>
        <v>132.68</v>
      </c>
      <c r="I31" s="200">
        <f>IF($G8&gt;0,IF($G8&lt;&gt;" ",$I8,0),0)+IF($G14&gt;0,IF($G14&lt;&gt;" ",$I14,0),0)+IF($G20&gt;0,IF($G20&lt;&gt;" ",$I20,0),0)+IF($G26&gt;0,IF($G26&lt;&gt;" ",$I26,0),0)</f>
        <v>38.760000000000005</v>
      </c>
      <c r="J31" s="192">
        <f>H31+I31</f>
        <v>171.44</v>
      </c>
    </row>
    <row r="32" spans="2:10" ht="2.25" customHeight="1" x14ac:dyDescent="0.2">
      <c r="D32" s="201"/>
      <c r="E32" s="194"/>
      <c r="F32" s="205"/>
      <c r="G32" s="206"/>
      <c r="H32" s="191"/>
      <c r="I32" s="200"/>
      <c r="J32" s="192"/>
    </row>
    <row r="33" spans="4:10" ht="14.25" x14ac:dyDescent="0.2">
      <c r="D33" s="201"/>
      <c r="E33" s="194"/>
      <c r="F33" s="204"/>
      <c r="G33" s="191" t="s">
        <v>5</v>
      </c>
      <c r="H33" s="191">
        <f>IF($G10&gt;0,IF($G10&lt;&gt;" ",$H10,0),0)+IF($G16&gt;0,IF($G16&lt;&gt;" ",$H16,0),0)+IF($G22&gt;0,IF($G22&lt;&gt;" ",$H22,0),0)+IF($G28&gt;0,IF($G28&lt;&gt;" ",$H28,0),0)</f>
        <v>0</v>
      </c>
      <c r="I33" s="200">
        <f>IF($G10&gt;0,IF($G10&lt;&gt;" ",$I10,0),0)+IF($G16&gt;0,IF($G16&lt;&gt;" ",$I16,0),0)+IF($G22&gt;0,IF($G22&lt;&gt;" ",$I22,0),0)+IF($G28&gt;0,IF($G28&lt;&gt;" ",$I28,0),0)</f>
        <v>0</v>
      </c>
      <c r="J33" s="192">
        <f>H33+I33</f>
        <v>0</v>
      </c>
    </row>
    <row r="34" spans="4:10" ht="1.5" customHeight="1" x14ac:dyDescent="0.2">
      <c r="D34" s="201"/>
      <c r="E34" s="194"/>
      <c r="F34" s="204"/>
      <c r="G34" s="191"/>
      <c r="H34" s="191"/>
      <c r="I34" s="200"/>
      <c r="J34" s="192"/>
    </row>
    <row r="35" spans="4:10" ht="14.25" x14ac:dyDescent="0.2">
      <c r="D35" s="207"/>
      <c r="E35" s="208"/>
      <c r="F35" s="208"/>
      <c r="G35" s="208" t="s">
        <v>2</v>
      </c>
      <c r="H35" s="209">
        <f>H31+H33</f>
        <v>132.68</v>
      </c>
      <c r="I35" s="210">
        <f>I31+I33</f>
        <v>38.760000000000005</v>
      </c>
      <c r="J35" s="209">
        <f>J31+J33</f>
        <v>171.44</v>
      </c>
    </row>
    <row r="36" spans="4:10" ht="18.75" customHeight="1" x14ac:dyDescent="0.2"/>
  </sheetData>
  <sheetProtection password="CFE0" sheet="1" objects="1" scenarios="1"/>
  <mergeCells count="1">
    <mergeCell ref="B28:B29"/>
  </mergeCells>
  <phoneticPr fontId="0" type="noConversion"/>
  <conditionalFormatting sqref="I6">
    <cfRule type="cellIs" priority="1" stopIfTrue="1" operator="between">
      <formula>25</formula>
      <formula>100</formula>
    </cfRule>
  </conditionalFormatting>
  <conditionalFormatting sqref="G8 G10 G14 G16 G20 G22 G26 G28">
    <cfRule type="cellIs" priority="2" stopIfTrue="1" operator="equal">
      <formula>"x"</formula>
    </cfRule>
    <cfRule type="cellIs" priority="3" stopIfTrue="1" operator="equal">
      <formula>" "</formula>
    </cfRule>
  </conditionalFormatting>
  <dataValidations disablePrompts="1" xWindow="447" yWindow="597" count="2">
    <dataValidation allowBlank="1" showInputMessage="1" showErrorMessage="1" error="This is an invalid entry.  Appointments must be between 25 and 100 % to be eligible for benefits enrollment" sqref="I6" xr:uid="{00000000-0002-0000-0100-000000000000}"/>
    <dataValidation type="whole" allowBlank="1" errorTitle="Incorrect Selection" error="Value must be 1 or  0" promptTitle="Coverage Selection" prompt="Please enter the number 1 to select coverage and the number 0 to decline coverage" sqref="G8 G26 G22 G20 G16 G14 G10 G28" xr:uid="{00000000-0002-0000-0100-000001000000}">
      <formula1>0</formula1>
      <formula2>1</formula2>
    </dataValidation>
  </dataValidations>
  <pageMargins left="0.75" right="0.75" top="1" bottom="1" header="0.5" footer="0.5"/>
  <pageSetup orientation="landscape" r:id="rId1"/>
  <headerFooter alignWithMargins="0">
    <oddFooter>&amp;LBenefits, Pensions, 
Last updated June 2008
Revise KN&amp;R&amp;F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K25"/>
  <sheetViews>
    <sheetView showGridLines="0" topLeftCell="A7" zoomScaleNormal="100" workbookViewId="0">
      <selection activeCell="F12" sqref="F12"/>
    </sheetView>
  </sheetViews>
  <sheetFormatPr defaultColWidth="9.140625" defaultRowHeight="12.75" x14ac:dyDescent="0.2"/>
  <cols>
    <col min="1" max="2" width="9.140625" style="3"/>
    <col min="3" max="3" width="16.5703125" style="3" customWidth="1"/>
    <col min="4" max="4" width="9.140625" style="3"/>
    <col min="5" max="5" width="12" style="3" customWidth="1"/>
    <col min="6" max="6" width="11.42578125" style="3" customWidth="1"/>
    <col min="7" max="7" width="11" style="3" customWidth="1"/>
    <col min="8" max="8" width="12.42578125" style="3" customWidth="1"/>
    <col min="9" max="9" width="11.85546875" style="3" customWidth="1"/>
    <col min="10" max="10" width="12.42578125" style="3" customWidth="1"/>
    <col min="11" max="16384" width="9.140625" style="3"/>
  </cols>
  <sheetData>
    <row r="2" spans="1:11" ht="20.25" x14ac:dyDescent="0.2">
      <c r="B2" s="1" t="s">
        <v>66</v>
      </c>
    </row>
    <row r="5" spans="1:11" ht="15.75" x14ac:dyDescent="0.25">
      <c r="B5" s="82" t="s">
        <v>16</v>
      </c>
      <c r="C5" s="48"/>
      <c r="D5" s="77" t="s">
        <v>7</v>
      </c>
      <c r="E5" s="40"/>
      <c r="F5" s="40"/>
      <c r="G5" s="83"/>
      <c r="H5" s="84" t="s">
        <v>38</v>
      </c>
      <c r="I5" s="40"/>
      <c r="J5" s="48"/>
    </row>
    <row r="6" spans="1:11" ht="21" customHeight="1" thickBot="1" x14ac:dyDescent="0.3">
      <c r="B6" s="85" t="s">
        <v>40</v>
      </c>
      <c r="C6" s="55"/>
      <c r="D6" s="54"/>
      <c r="E6" s="54"/>
      <c r="F6" s="54"/>
      <c r="G6" s="86"/>
      <c r="H6" s="87" t="s">
        <v>63</v>
      </c>
      <c r="I6" s="147">
        <f>Summary!D12</f>
        <v>1</v>
      </c>
      <c r="J6" s="55"/>
      <c r="K6" s="5"/>
    </row>
    <row r="7" spans="1:11" ht="15.75" x14ac:dyDescent="0.25">
      <c r="B7" s="82"/>
      <c r="C7" s="41"/>
      <c r="D7" s="89" t="s">
        <v>9</v>
      </c>
      <c r="E7" s="90" t="s">
        <v>10</v>
      </c>
      <c r="F7" s="91" t="s">
        <v>2</v>
      </c>
      <c r="G7" s="91" t="s">
        <v>27</v>
      </c>
      <c r="H7" s="89" t="s">
        <v>9</v>
      </c>
      <c r="I7" s="92" t="s">
        <v>10</v>
      </c>
      <c r="J7" s="41" t="s">
        <v>2</v>
      </c>
      <c r="K7" s="5"/>
    </row>
    <row r="8" spans="1:11" ht="15.75" x14ac:dyDescent="0.25">
      <c r="B8" s="82"/>
      <c r="C8" s="41"/>
      <c r="D8" s="89"/>
      <c r="E8" s="90"/>
      <c r="F8" s="91"/>
      <c r="G8" s="91"/>
      <c r="H8" s="89"/>
      <c r="I8" s="93"/>
      <c r="J8" s="41"/>
      <c r="K8" s="6"/>
    </row>
    <row r="9" spans="1:11" ht="15.75" x14ac:dyDescent="0.25">
      <c r="B9" s="98" t="s">
        <v>108</v>
      </c>
      <c r="C9" s="99"/>
      <c r="D9" s="183">
        <v>33.76</v>
      </c>
      <c r="E9" s="184">
        <v>63.48</v>
      </c>
      <c r="F9" s="72">
        <f>D9+E9</f>
        <v>97.24</v>
      </c>
      <c r="G9" s="157">
        <f>IF(Summary!D24="Plan A",1,0)</f>
        <v>0</v>
      </c>
      <c r="H9" s="177">
        <f>ROUND(D9*$I$6,2)</f>
        <v>33.76</v>
      </c>
      <c r="I9" s="178">
        <f>F9-H9</f>
        <v>63.48</v>
      </c>
      <c r="J9" s="179">
        <f>H9+I9</f>
        <v>97.24</v>
      </c>
      <c r="K9" s="6"/>
    </row>
    <row r="10" spans="1:11" ht="22.5" customHeight="1" x14ac:dyDescent="0.2">
      <c r="A10" s="5"/>
      <c r="B10" s="100"/>
      <c r="C10" s="95" t="s">
        <v>12</v>
      </c>
      <c r="D10" s="180">
        <f>D9/F9</f>
        <v>0.34718222953517069</v>
      </c>
      <c r="E10" s="180">
        <f>E9/F9</f>
        <v>0.65281777046482925</v>
      </c>
      <c r="F10" s="185">
        <f>D10+E10</f>
        <v>1</v>
      </c>
      <c r="G10" s="96"/>
      <c r="H10" s="180">
        <f>H9/J9</f>
        <v>0.34718222953517069</v>
      </c>
      <c r="I10" s="181">
        <f>J10-H10</f>
        <v>0.65281777046482925</v>
      </c>
      <c r="J10" s="182">
        <v>1</v>
      </c>
      <c r="K10" s="7"/>
    </row>
    <row r="11" spans="1:11" ht="15.75" x14ac:dyDescent="0.25">
      <c r="B11" s="82"/>
      <c r="C11" s="41"/>
      <c r="D11" s="89"/>
      <c r="E11" s="90"/>
      <c r="F11" s="91"/>
      <c r="G11" s="91"/>
      <c r="H11" s="89"/>
      <c r="I11" s="93"/>
      <c r="J11" s="41"/>
      <c r="K11" s="6"/>
    </row>
    <row r="12" spans="1:11" ht="15.75" x14ac:dyDescent="0.25">
      <c r="B12" s="98" t="s">
        <v>107</v>
      </c>
      <c r="C12" s="99"/>
      <c r="D12" s="183">
        <v>33.11</v>
      </c>
      <c r="E12" s="184">
        <v>62.24</v>
      </c>
      <c r="F12" s="72">
        <f>D12+E12</f>
        <v>95.35</v>
      </c>
      <c r="G12" s="157">
        <f>IF(Summary!D27="Plan A",1,0)</f>
        <v>0</v>
      </c>
      <c r="H12" s="177">
        <f>ROUND(D12*$I$6,2)</f>
        <v>33.11</v>
      </c>
      <c r="I12" s="178">
        <f>F12-H12</f>
        <v>62.239999999999995</v>
      </c>
      <c r="J12" s="179">
        <f>H12+I12</f>
        <v>95.35</v>
      </c>
      <c r="K12" s="6"/>
    </row>
    <row r="13" spans="1:11" ht="22.5" customHeight="1" x14ac:dyDescent="0.2">
      <c r="A13" s="5"/>
      <c r="B13" s="100"/>
      <c r="C13" s="95" t="s">
        <v>12</v>
      </c>
      <c r="D13" s="180">
        <f>D12/F12</f>
        <v>0.34724698479286842</v>
      </c>
      <c r="E13" s="180">
        <f>E12/F12</f>
        <v>0.65275301520713169</v>
      </c>
      <c r="F13" s="185">
        <f>D13+E13</f>
        <v>1</v>
      </c>
      <c r="G13" s="96"/>
      <c r="H13" s="180">
        <f>H12/J12</f>
        <v>0.34724698479286842</v>
      </c>
      <c r="I13" s="181">
        <f>J13-H13</f>
        <v>0.65275301520713158</v>
      </c>
      <c r="J13" s="182">
        <v>1</v>
      </c>
      <c r="K13" s="7"/>
    </row>
    <row r="14" spans="1:11" ht="15.75" x14ac:dyDescent="0.25">
      <c r="B14" s="82"/>
      <c r="C14" s="41"/>
      <c r="D14" s="89"/>
      <c r="E14" s="90"/>
      <c r="F14" s="91"/>
      <c r="G14" s="91"/>
      <c r="H14" s="89"/>
      <c r="I14" s="93"/>
      <c r="J14" s="41"/>
      <c r="K14" s="6"/>
    </row>
    <row r="15" spans="1:11" ht="15.75" x14ac:dyDescent="0.25">
      <c r="B15" s="98" t="s">
        <v>97</v>
      </c>
      <c r="C15" s="99"/>
      <c r="D15" s="183">
        <v>39.78</v>
      </c>
      <c r="E15" s="184">
        <v>74.78</v>
      </c>
      <c r="F15" s="72">
        <f>D15+E15</f>
        <v>114.56</v>
      </c>
      <c r="G15" s="157">
        <f>IF(Summary!D27="Plan A-UTSC",1,0)</f>
        <v>0</v>
      </c>
      <c r="H15" s="177">
        <f>ROUND(D15*($I$6),2)</f>
        <v>39.78</v>
      </c>
      <c r="I15" s="178">
        <f>F15-H15</f>
        <v>74.78</v>
      </c>
      <c r="J15" s="179">
        <f>H15+I15</f>
        <v>114.56</v>
      </c>
      <c r="K15" s="6"/>
    </row>
    <row r="16" spans="1:11" s="5" customFormat="1" x14ac:dyDescent="0.2">
      <c r="B16" s="100"/>
      <c r="C16" s="95" t="s">
        <v>12</v>
      </c>
      <c r="D16" s="180">
        <f>D15/F15</f>
        <v>0.34724162011173182</v>
      </c>
      <c r="E16" s="180">
        <f>E15/F15</f>
        <v>0.65275837988826813</v>
      </c>
      <c r="F16" s="185">
        <f>D16+E16</f>
        <v>1</v>
      </c>
      <c r="G16" s="96"/>
      <c r="H16" s="180">
        <f>H15/J15</f>
        <v>0.34724162011173182</v>
      </c>
      <c r="I16" s="181">
        <f>J16-H16</f>
        <v>0.65275837988826813</v>
      </c>
      <c r="J16" s="182">
        <v>1</v>
      </c>
      <c r="K16" s="7"/>
    </row>
    <row r="17" spans="2:11" ht="15.75" x14ac:dyDescent="0.25">
      <c r="B17" s="88"/>
      <c r="C17" s="101"/>
      <c r="D17" s="186"/>
      <c r="E17" s="186"/>
      <c r="F17" s="66"/>
      <c r="G17" s="83"/>
      <c r="H17" s="89"/>
      <c r="I17" s="93"/>
      <c r="J17" s="41"/>
      <c r="K17" s="97"/>
    </row>
    <row r="18" spans="2:11" ht="15.75" x14ac:dyDescent="0.25">
      <c r="B18" s="98" t="s">
        <v>99</v>
      </c>
      <c r="C18" s="99"/>
      <c r="D18" s="183">
        <v>17.62</v>
      </c>
      <c r="E18" s="184">
        <v>33.130000000000003</v>
      </c>
      <c r="F18" s="72">
        <f>D18+E18</f>
        <v>50.75</v>
      </c>
      <c r="G18" s="157">
        <f>IF(Summary!D24="Plan B - U of T Miss.",1,0)</f>
        <v>0</v>
      </c>
      <c r="H18" s="177">
        <f>ROUND(D18*($I$6),2)</f>
        <v>17.62</v>
      </c>
      <c r="I18" s="178">
        <f>F18-H18</f>
        <v>33.129999999999995</v>
      </c>
      <c r="J18" s="179">
        <f>H18+I18</f>
        <v>50.75</v>
      </c>
      <c r="K18" s="7"/>
    </row>
    <row r="19" spans="2:11" s="5" customFormat="1" ht="16.5" customHeight="1" x14ac:dyDescent="0.2">
      <c r="B19" s="100"/>
      <c r="C19" s="95" t="s">
        <v>12</v>
      </c>
      <c r="D19" s="180">
        <f>D18/F18</f>
        <v>0.34719211822660101</v>
      </c>
      <c r="E19" s="180">
        <f>E18/F18</f>
        <v>0.6528078817733991</v>
      </c>
      <c r="F19" s="185">
        <f>D19+E19</f>
        <v>1</v>
      </c>
      <c r="G19" s="96"/>
      <c r="H19" s="180">
        <f>H18/J18</f>
        <v>0.34719211822660101</v>
      </c>
      <c r="I19" s="181">
        <f>J19-H19</f>
        <v>0.65280788177339899</v>
      </c>
      <c r="J19" s="182">
        <v>1</v>
      </c>
      <c r="K19" s="7"/>
    </row>
    <row r="20" spans="2:11" ht="19.5" customHeight="1" x14ac:dyDescent="0.25">
      <c r="B20" s="88"/>
      <c r="C20" s="48"/>
      <c r="D20" s="186"/>
      <c r="E20" s="186"/>
      <c r="F20" s="66"/>
      <c r="G20" s="83"/>
      <c r="H20" s="89"/>
      <c r="I20" s="93"/>
      <c r="J20" s="41"/>
      <c r="K20" s="97"/>
    </row>
    <row r="21" spans="2:11" ht="15.75" x14ac:dyDescent="0.25">
      <c r="B21" s="98" t="s">
        <v>56</v>
      </c>
      <c r="C21" s="99"/>
      <c r="D21" s="183">
        <v>23.35</v>
      </c>
      <c r="E21" s="184">
        <v>43.89</v>
      </c>
      <c r="F21" s="72">
        <f>D21+E21</f>
        <v>67.240000000000009</v>
      </c>
      <c r="G21" s="157">
        <f>IF(Summary!D24="Plan B - U of T Scarb.",1,0)</f>
        <v>0</v>
      </c>
      <c r="H21" s="177">
        <f>ROUND(D21*($I$6),2)</f>
        <v>23.35</v>
      </c>
      <c r="I21" s="178">
        <f>F21-H21</f>
        <v>43.890000000000008</v>
      </c>
      <c r="J21" s="179">
        <f>H21+I21</f>
        <v>67.240000000000009</v>
      </c>
      <c r="K21" s="7"/>
    </row>
    <row r="22" spans="2:11" s="5" customFormat="1" ht="16.5" customHeight="1" x14ac:dyDescent="0.2">
      <c r="B22" s="94"/>
      <c r="C22" s="95" t="s">
        <v>12</v>
      </c>
      <c r="D22" s="180">
        <f>D21/F21</f>
        <v>0.34726353361094586</v>
      </c>
      <c r="E22" s="180">
        <f>E21/F21</f>
        <v>0.65273646638905403</v>
      </c>
      <c r="F22" s="185">
        <f>D22+E22</f>
        <v>0.99999999999999989</v>
      </c>
      <c r="G22" s="96"/>
      <c r="H22" s="180">
        <f>H21/J21</f>
        <v>0.34726353361094586</v>
      </c>
      <c r="I22" s="181">
        <f>J22-H22</f>
        <v>0.65273646638905414</v>
      </c>
      <c r="J22" s="182">
        <v>1</v>
      </c>
      <c r="K22" s="7"/>
    </row>
    <row r="23" spans="2:11" ht="14.25" x14ac:dyDescent="0.2">
      <c r="D23" s="193"/>
      <c r="E23" s="167"/>
      <c r="F23" s="167"/>
      <c r="G23" s="168" t="s">
        <v>50</v>
      </c>
      <c r="H23" s="191">
        <f>IF($G9&gt;0,IF($G9&lt;&gt;" ",$H9,0),0)+IF($G18&gt;0,IF($G18&lt;&gt;" ",$H18,0),0)+IF($G21&gt;0,IF($G21&lt;&gt;" ",$H21,0),0)</f>
        <v>0</v>
      </c>
      <c r="I23" s="200">
        <f>IF($G9&gt;0,IF($G9&lt;&gt;" ",$I9,0),0)+IF($G18&gt;0,IF($G18&lt;&gt;" ",$I18,0),0)+IF($G21&gt;0,IF($G21&lt;&gt;" ",$I21,0),0)</f>
        <v>0</v>
      </c>
      <c r="J23" s="192">
        <f>H23+I23</f>
        <v>0</v>
      </c>
      <c r="K23" s="97"/>
    </row>
    <row r="25" spans="2:11" ht="15" x14ac:dyDescent="0.25">
      <c r="E25" s="174"/>
      <c r="F25" s="175"/>
      <c r="G25" s="176"/>
    </row>
  </sheetData>
  <sheetProtection password="CFE0" sheet="1" objects="1" scenarios="1"/>
  <phoneticPr fontId="0" type="noConversion"/>
  <dataValidations xWindow="475" yWindow="498" count="2">
    <dataValidation allowBlank="1" showInputMessage="1" showErrorMessage="1" error="This is an invalid entry.  Appointments must be between 25 and 100 % to be eligible for benefits enrollment" sqref="I6" xr:uid="{00000000-0002-0000-0200-000000000000}"/>
    <dataValidation type="whole" allowBlank="1" errorTitle="Incorrect Selection" error="Value must be 1 or  0" sqref="G9 G18 G21 G15 G12" xr:uid="{00000000-0002-0000-0200-000001000000}">
      <formula1>0</formula1>
      <formula2>1</formula2>
    </dataValidation>
  </dataValidations>
  <pageMargins left="0.75" right="0.75" top="1" bottom="1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T40"/>
  <sheetViews>
    <sheetView showGridLines="0" topLeftCell="A7" zoomScale="90" zoomScaleNormal="90" workbookViewId="0">
      <selection activeCell="U17" sqref="U17"/>
    </sheetView>
  </sheetViews>
  <sheetFormatPr defaultColWidth="9.140625" defaultRowHeight="12.75" x14ac:dyDescent="0.2"/>
  <cols>
    <col min="1" max="1" width="2.5703125" style="3" customWidth="1"/>
    <col min="2" max="2" width="3.42578125" style="3" customWidth="1"/>
    <col min="3" max="3" width="6.140625" style="3" customWidth="1"/>
    <col min="4" max="4" width="9.140625" style="3"/>
    <col min="5" max="5" width="18.85546875" style="3" customWidth="1"/>
    <col min="6" max="6" width="11.5703125" style="3" customWidth="1"/>
    <col min="7" max="7" width="13" style="3" customWidth="1"/>
    <col min="8" max="8" width="13.140625" style="3" customWidth="1"/>
    <col min="9" max="9" width="11.5703125" style="3" customWidth="1"/>
    <col min="10" max="10" width="13.42578125" style="3" customWidth="1"/>
    <col min="11" max="11" width="12.42578125" style="16" customWidth="1"/>
    <col min="12" max="12" width="13.42578125" style="3" customWidth="1"/>
    <col min="13" max="15" width="9.140625" style="3" hidden="1" customWidth="1"/>
    <col min="16" max="16" width="10.85546875" style="3" hidden="1" customWidth="1"/>
    <col min="17" max="17" width="7" style="3" hidden="1" customWidth="1"/>
    <col min="18" max="18" width="12.85546875" style="3" hidden="1" customWidth="1"/>
    <col min="19" max="22" width="9.140625" style="3" customWidth="1"/>
    <col min="23" max="16384" width="9.140625" style="3"/>
  </cols>
  <sheetData>
    <row r="1" spans="2:20" ht="0.75" customHeight="1" x14ac:dyDescent="0.2"/>
    <row r="2" spans="2:20" ht="20.25" x14ac:dyDescent="0.3">
      <c r="B2" s="12" t="s">
        <v>69</v>
      </c>
      <c r="C2" s="266"/>
      <c r="F2" s="257"/>
      <c r="K2" s="13"/>
      <c r="L2" s="14"/>
    </row>
    <row r="3" spans="2:20" ht="15.75" x14ac:dyDescent="0.25">
      <c r="C3" s="15"/>
      <c r="F3" s="257"/>
      <c r="H3" s="267" t="s">
        <v>68</v>
      </c>
    </row>
    <row r="4" spans="2:20" ht="15" x14ac:dyDescent="0.2">
      <c r="C4" s="139"/>
      <c r="D4" s="18" t="s">
        <v>59</v>
      </c>
      <c r="E4" s="143">
        <f>Summary!D10</f>
        <v>56000</v>
      </c>
      <c r="F4" s="258" t="s">
        <v>60</v>
      </c>
      <c r="I4" s="260" t="s">
        <v>61</v>
      </c>
      <c r="L4" s="143">
        <f>E4/Summary!D12</f>
        <v>56000</v>
      </c>
    </row>
    <row r="5" spans="2:20" ht="5.25" customHeight="1" x14ac:dyDescent="0.2">
      <c r="D5" s="139"/>
      <c r="E5" s="142"/>
      <c r="F5" s="257"/>
    </row>
    <row r="6" spans="2:20" ht="7.5" hidden="1" customHeight="1" x14ac:dyDescent="0.2">
      <c r="C6" s="141"/>
      <c r="D6" s="139"/>
      <c r="E6" s="140"/>
      <c r="F6" s="257"/>
    </row>
    <row r="7" spans="2:20" ht="30.75" x14ac:dyDescent="0.25">
      <c r="C7" s="39"/>
      <c r="D7" s="78" t="s">
        <v>31</v>
      </c>
      <c r="E7" s="41"/>
      <c r="F7" s="259" t="s">
        <v>9</v>
      </c>
      <c r="G7" s="42" t="s">
        <v>17</v>
      </c>
      <c r="H7" s="103" t="s">
        <v>2</v>
      </c>
      <c r="I7" s="43" t="s">
        <v>28</v>
      </c>
      <c r="J7" s="44" t="s">
        <v>9</v>
      </c>
      <c r="K7" s="195" t="s">
        <v>10</v>
      </c>
      <c r="L7" s="104" t="s">
        <v>2</v>
      </c>
    </row>
    <row r="8" spans="2:20" ht="2.25" customHeight="1" x14ac:dyDescent="0.2">
      <c r="C8" s="39"/>
      <c r="D8" s="40"/>
      <c r="E8" s="41"/>
      <c r="F8" s="259"/>
      <c r="G8" s="42"/>
      <c r="H8" s="103"/>
      <c r="I8" s="43"/>
      <c r="J8" s="45"/>
      <c r="K8" s="196"/>
      <c r="L8" s="46"/>
    </row>
    <row r="9" spans="2:20" ht="14.25" customHeight="1" x14ac:dyDescent="0.25">
      <c r="C9" s="47" t="s">
        <v>18</v>
      </c>
      <c r="D9" s="40"/>
      <c r="E9" s="48"/>
      <c r="F9" s="49">
        <f>ROUND(IF(E4&lt;125000,E4/12/100*Q9*4,125000/12/100*Q9*4),2)+VLOOKUP(Summary!$D$14,rates,18,FALSE)</f>
        <v>44.67</v>
      </c>
      <c r="G9" s="102">
        <f>ROUND(IF(E4&lt;125000,E4/12/100*Q9,125000/12/100*Q9),2)</f>
        <v>11.17</v>
      </c>
      <c r="H9" s="51">
        <f>F9+G9</f>
        <v>55.84</v>
      </c>
      <c r="I9" s="154">
        <f>IF(Summary!D25="Enroll",1,0)</f>
        <v>1</v>
      </c>
      <c r="J9" s="49">
        <f>IF(I9=1,F9,0)</f>
        <v>44.67</v>
      </c>
      <c r="K9" s="197">
        <f>IF(I9=1,G9,0)</f>
        <v>11.17</v>
      </c>
      <c r="L9" s="52">
        <f>J9+K9</f>
        <v>55.84</v>
      </c>
      <c r="O9" s="11" t="s">
        <v>64</v>
      </c>
      <c r="Q9" s="3">
        <v>0.23930000000000001</v>
      </c>
      <c r="R9" s="10"/>
    </row>
    <row r="10" spans="2:20" ht="9.75" customHeight="1" x14ac:dyDescent="0.2">
      <c r="C10" s="53"/>
      <c r="D10" s="54"/>
      <c r="E10" s="55"/>
      <c r="F10" s="56"/>
      <c r="G10" s="57"/>
      <c r="H10" s="58"/>
      <c r="I10" s="59" t="s">
        <v>3</v>
      </c>
      <c r="J10" s="56"/>
      <c r="K10" s="198"/>
      <c r="L10" s="60"/>
      <c r="O10" s="11" t="s">
        <v>67</v>
      </c>
      <c r="P10" s="11" t="s">
        <v>10</v>
      </c>
      <c r="Q10" s="11" t="s">
        <v>9</v>
      </c>
      <c r="R10" s="11"/>
      <c r="T10"/>
    </row>
    <row r="11" spans="2:20" ht="19.5" customHeight="1" x14ac:dyDescent="0.25">
      <c r="C11" s="47" t="s">
        <v>48</v>
      </c>
      <c r="D11" s="40"/>
      <c r="E11" s="48"/>
      <c r="F11" s="49">
        <f>ROUND(IF($E$4&lt;=125000,E4/1000*(Q11),125000/1000*Q11),2)</f>
        <v>5.34</v>
      </c>
      <c r="G11" s="50">
        <v>0</v>
      </c>
      <c r="H11" s="51">
        <f>F11+G11</f>
        <v>5.34</v>
      </c>
      <c r="I11" s="61">
        <v>1</v>
      </c>
      <c r="J11" s="49">
        <f>IF(I11=1,F11,0)</f>
        <v>5.34</v>
      </c>
      <c r="K11" s="197">
        <f>IF(I11=1,G11,0)</f>
        <v>0</v>
      </c>
      <c r="L11" s="52">
        <f>J11+K11</f>
        <v>5.34</v>
      </c>
      <c r="O11" s="271">
        <f>Q11+P11</f>
        <v>9.5399999999999999E-2</v>
      </c>
      <c r="P11" s="11"/>
      <c r="Q11" s="11">
        <v>9.5399999999999999E-2</v>
      </c>
      <c r="R11" s="272" t="s">
        <v>19</v>
      </c>
    </row>
    <row r="12" spans="2:20" ht="11.25" customHeight="1" x14ac:dyDescent="0.2">
      <c r="C12" s="62"/>
      <c r="D12" s="79"/>
      <c r="E12" s="55"/>
      <c r="F12" s="56"/>
      <c r="G12" s="57"/>
      <c r="H12" s="58"/>
      <c r="I12" s="59"/>
      <c r="J12" s="56"/>
      <c r="K12" s="198"/>
      <c r="L12" s="63"/>
      <c r="O12" s="11"/>
      <c r="P12" s="11"/>
      <c r="Q12" s="11"/>
      <c r="R12" s="11"/>
    </row>
    <row r="13" spans="2:20" ht="15" x14ac:dyDescent="0.2">
      <c r="C13" s="47" t="s">
        <v>20</v>
      </c>
      <c r="D13" s="40"/>
      <c r="E13" s="48"/>
      <c r="F13" s="64"/>
      <c r="G13" s="65"/>
      <c r="H13" s="66"/>
      <c r="I13" s="9"/>
      <c r="J13" s="64"/>
      <c r="K13" s="197"/>
      <c r="L13" s="60"/>
      <c r="N13" s="273"/>
      <c r="O13" s="11"/>
      <c r="P13" s="11"/>
      <c r="Q13" s="11"/>
      <c r="R13" s="11"/>
    </row>
    <row r="14" spans="2:20" ht="15.75" x14ac:dyDescent="0.25">
      <c r="C14" s="67"/>
      <c r="D14" s="68" t="s">
        <v>21</v>
      </c>
      <c r="E14" s="69"/>
      <c r="F14" s="70">
        <f>ROUND(G14/2,2)</f>
        <v>1.78</v>
      </c>
      <c r="G14" s="71">
        <f>ROUND(IF($E$4&lt;125000,$E$4/1000*P14,125000/1000*P14),2)</f>
        <v>3.56</v>
      </c>
      <c r="H14" s="72">
        <f>F14+G14</f>
        <v>5.34</v>
      </c>
      <c r="I14" s="155">
        <f>IF(Summary!$D$26="1X Optional",1,0)</f>
        <v>1</v>
      </c>
      <c r="J14" s="73">
        <f>IF(I14=1,F14,0)</f>
        <v>1.78</v>
      </c>
      <c r="K14" s="199">
        <f>IF(I14=1,G14,0)</f>
        <v>3.56</v>
      </c>
      <c r="L14" s="60">
        <f>J14+K14</f>
        <v>5.34</v>
      </c>
      <c r="N14" s="274"/>
      <c r="O14" s="271">
        <f>Q14+P14</f>
        <v>9.5400000000000013E-2</v>
      </c>
      <c r="P14" s="11">
        <v>6.3600000000000004E-2</v>
      </c>
      <c r="Q14" s="271">
        <v>3.1800000000000002E-2</v>
      </c>
      <c r="R14" s="11"/>
      <c r="S14" s="273"/>
      <c r="T14" s="273"/>
    </row>
    <row r="15" spans="2:20" ht="15" x14ac:dyDescent="0.2">
      <c r="C15" s="67"/>
      <c r="D15" s="81" t="s">
        <v>32</v>
      </c>
      <c r="E15" s="69"/>
      <c r="F15" s="70"/>
      <c r="G15" s="74"/>
      <c r="H15" s="72"/>
      <c r="I15" s="81" t="s">
        <v>32</v>
      </c>
      <c r="J15" s="80"/>
      <c r="K15" s="199"/>
      <c r="L15" s="60"/>
      <c r="N15" s="273"/>
      <c r="O15" s="11"/>
      <c r="P15" s="11"/>
      <c r="Q15" s="271"/>
      <c r="R15" s="11"/>
      <c r="S15" s="273"/>
      <c r="T15" s="273"/>
    </row>
    <row r="16" spans="2:20" ht="15.75" x14ac:dyDescent="0.25">
      <c r="C16" s="67"/>
      <c r="D16" s="68" t="s">
        <v>22</v>
      </c>
      <c r="E16" s="69"/>
      <c r="F16" s="70">
        <f>ROUND(G16/2,2)</f>
        <v>3.56</v>
      </c>
      <c r="G16" s="270">
        <f>ROUND(IF($E$4&lt;125000,$E$4/1000*P16,125000/1000*P16),2)</f>
        <v>7.12</v>
      </c>
      <c r="H16" s="72">
        <f>F16+G16</f>
        <v>10.68</v>
      </c>
      <c r="I16" s="155">
        <f>IF(Summary!$D$26="2X Optional",1,0)</f>
        <v>0</v>
      </c>
      <c r="J16" s="73">
        <f>IF(I16=1,F16,0)</f>
        <v>0</v>
      </c>
      <c r="K16" s="199">
        <f>IF(I16=1,G16,0)</f>
        <v>0</v>
      </c>
      <c r="L16" s="60">
        <f>J16+K16</f>
        <v>0</v>
      </c>
      <c r="N16" s="273"/>
      <c r="O16" s="271">
        <f>Q16+P16</f>
        <v>0.19080000000000003</v>
      </c>
      <c r="P16" s="271">
        <v>0.12720000000000001</v>
      </c>
      <c r="Q16" s="271">
        <v>6.3600000000000004E-2</v>
      </c>
      <c r="R16" s="11"/>
      <c r="S16" s="273"/>
      <c r="T16" s="273"/>
    </row>
    <row r="17" spans="2:20" ht="15" x14ac:dyDescent="0.2">
      <c r="C17" s="67"/>
      <c r="D17" s="81" t="s">
        <v>32</v>
      </c>
      <c r="E17" s="69"/>
      <c r="F17" s="70"/>
      <c r="G17" s="74"/>
      <c r="H17" s="72"/>
      <c r="I17" s="81" t="s">
        <v>32</v>
      </c>
      <c r="J17" s="70"/>
      <c r="K17" s="199"/>
      <c r="L17" s="60"/>
      <c r="N17" s="273"/>
      <c r="O17" s="11"/>
      <c r="P17" s="11"/>
      <c r="Q17" s="271"/>
      <c r="R17" s="11"/>
      <c r="S17" s="273"/>
      <c r="T17" s="273"/>
    </row>
    <row r="18" spans="2:20" ht="15.75" x14ac:dyDescent="0.25">
      <c r="C18" s="67"/>
      <c r="D18" s="68" t="s">
        <v>23</v>
      </c>
      <c r="E18" s="69"/>
      <c r="F18" s="70">
        <f>ROUND(G18/2,2)</f>
        <v>5.34</v>
      </c>
      <c r="G18" s="71">
        <f>ROUND(IF($E$4&lt;125000,$E$4/1000*P18,125000/1000*P18),2)</f>
        <v>10.68</v>
      </c>
      <c r="H18" s="72">
        <f>F18+G18</f>
        <v>16.02</v>
      </c>
      <c r="I18" s="155">
        <f>IF(Summary!$D$26="3X Optional",1,0)</f>
        <v>0</v>
      </c>
      <c r="J18" s="73">
        <f>IF(I18=1,F18,0)</f>
        <v>0</v>
      </c>
      <c r="K18" s="199">
        <f>IF(I18=1,G18,0)</f>
        <v>0</v>
      </c>
      <c r="L18" s="60">
        <f>J18+K18</f>
        <v>0</v>
      </c>
      <c r="N18" s="273"/>
      <c r="O18" s="271">
        <f>Q18+P18</f>
        <v>0.28620000000000001</v>
      </c>
      <c r="P18" s="11">
        <v>0.1908</v>
      </c>
      <c r="Q18" s="271">
        <v>9.5399999999999999E-2</v>
      </c>
      <c r="R18" s="11"/>
      <c r="S18" s="273"/>
      <c r="T18" s="273"/>
    </row>
    <row r="19" spans="2:20" ht="15" x14ac:dyDescent="0.2">
      <c r="C19" s="67"/>
      <c r="D19" s="81" t="s">
        <v>32</v>
      </c>
      <c r="E19" s="69"/>
      <c r="F19" s="70"/>
      <c r="G19" s="74"/>
      <c r="H19" s="72"/>
      <c r="I19" s="81" t="s">
        <v>32</v>
      </c>
      <c r="J19" s="70"/>
      <c r="K19" s="199"/>
      <c r="L19" s="60"/>
      <c r="N19" s="273"/>
      <c r="O19" s="11"/>
      <c r="P19" s="11"/>
      <c r="Q19" s="271"/>
      <c r="R19" s="11"/>
      <c r="S19" s="273"/>
      <c r="T19" s="273"/>
    </row>
    <row r="20" spans="2:20" ht="15.75" x14ac:dyDescent="0.25">
      <c r="C20" s="67"/>
      <c r="D20" s="68" t="s">
        <v>24</v>
      </c>
      <c r="E20" s="69"/>
      <c r="F20" s="70">
        <f>ROUND(G20/2,2)</f>
        <v>10.69</v>
      </c>
      <c r="G20" s="71">
        <f>ROUND(IF($E$4&lt;65000,$E$4/1000*P20,65000/1000*P20),2)</f>
        <v>21.37</v>
      </c>
      <c r="H20" s="72">
        <f>F20+G20</f>
        <v>32.06</v>
      </c>
      <c r="I20" s="155">
        <f>IF(Summary!$D$26="Basic+SIB",1,0)</f>
        <v>0</v>
      </c>
      <c r="J20" s="73">
        <f>IF(I20=1,F20,0)</f>
        <v>0</v>
      </c>
      <c r="K20" s="199">
        <f>IF(I20=1,G20,0)</f>
        <v>0</v>
      </c>
      <c r="L20" s="60">
        <f>J20+K20</f>
        <v>0</v>
      </c>
      <c r="N20" s="273"/>
      <c r="O20" s="271">
        <f>Q20+P20</f>
        <v>0.57240000000000002</v>
      </c>
      <c r="P20" s="11">
        <v>0.38159999999999999</v>
      </c>
      <c r="Q20" s="271">
        <v>0.1908</v>
      </c>
      <c r="R20" s="11"/>
      <c r="S20" s="273"/>
      <c r="T20" s="273"/>
    </row>
    <row r="21" spans="2:20" ht="15" x14ac:dyDescent="0.2">
      <c r="C21" s="67"/>
      <c r="D21" s="81" t="s">
        <v>32</v>
      </c>
      <c r="E21" s="69"/>
      <c r="F21" s="70"/>
      <c r="G21" s="74"/>
      <c r="H21" s="72"/>
      <c r="I21" s="81" t="s">
        <v>32</v>
      </c>
      <c r="J21" s="70"/>
      <c r="K21" s="199"/>
      <c r="L21" s="60"/>
      <c r="N21" s="273"/>
      <c r="O21" s="11"/>
      <c r="P21" s="11"/>
      <c r="Q21" s="11"/>
      <c r="R21" s="11"/>
      <c r="S21" s="273"/>
      <c r="T21" s="273"/>
    </row>
    <row r="22" spans="2:20" ht="15.75" x14ac:dyDescent="0.25">
      <c r="C22" s="53"/>
      <c r="D22" s="54" t="s">
        <v>25</v>
      </c>
      <c r="E22" s="55"/>
      <c r="F22" s="56">
        <f>F20+F14</f>
        <v>12.469999999999999</v>
      </c>
      <c r="G22" s="75">
        <f>G20+G14</f>
        <v>24.93</v>
      </c>
      <c r="H22" s="58">
        <f>H20+H14</f>
        <v>37.400000000000006</v>
      </c>
      <c r="I22" s="265">
        <f>IF(Summary!$D$26="1X Optional+SIB",1,0)</f>
        <v>0</v>
      </c>
      <c r="J22" s="76">
        <f>IF(I22=1,F22,0)</f>
        <v>0</v>
      </c>
      <c r="K22" s="198">
        <f>IF(I22=1,G22,0)</f>
        <v>0</v>
      </c>
      <c r="L22" s="60">
        <f>J22+K22</f>
        <v>0</v>
      </c>
      <c r="N22" s="273"/>
      <c r="O22" s="271">
        <f>Q22+P22</f>
        <v>0.66779999999999995</v>
      </c>
      <c r="P22" s="11">
        <v>0.44519999999999998</v>
      </c>
      <c r="Q22" s="271">
        <v>0.22259999999999999</v>
      </c>
      <c r="R22" s="11">
        <f>N22*2/3</f>
        <v>0</v>
      </c>
      <c r="S22" s="273"/>
      <c r="T22" s="273"/>
    </row>
    <row r="23" spans="2:20" ht="6" customHeight="1" x14ac:dyDescent="0.2">
      <c r="C23" s="67"/>
      <c r="D23" s="68"/>
      <c r="E23" s="144"/>
      <c r="F23" s="70"/>
      <c r="G23" s="74"/>
      <c r="H23" s="72"/>
      <c r="I23" s="8"/>
      <c r="J23" s="70"/>
      <c r="K23" s="199"/>
      <c r="L23" s="52"/>
      <c r="Q23" s="3" t="s">
        <v>29</v>
      </c>
      <c r="R23" s="3" t="s">
        <v>30</v>
      </c>
    </row>
    <row r="24" spans="2:20" ht="15.75" x14ac:dyDescent="0.25">
      <c r="C24" s="53" t="s">
        <v>26</v>
      </c>
      <c r="D24" s="54"/>
      <c r="E24" s="173"/>
      <c r="F24" s="56">
        <f>IF(L4&lt;VLOOKUP(Summary!$D$14,rates,22,FALSE),L4/12*VLOOKUP(Summary!$D$14,rates,21,FALSE)*Summary!D12,VLOOKUP(Summary!$D$14,rates,22,FALSE)/12*VLOOKUP(Summary!$D$14,rates,21,FALSE)*Summary!D12)</f>
        <v>585.66666666666674</v>
      </c>
      <c r="G24" s="75">
        <f>MIN(VLOOKUP(Summary!$D$14,rates,23,FALSE),ROUND(((MIN('Salary Related'!$L$4,'Salary Related'!$Q$24)*VLOOKUP(Summary!$D$14,rates,19,FALSE))+(MAX(0,('Salary Related'!$L$4-'Salary Related'!$Q$24))*VLOOKUP(Summary!$D$14,rates,20,FALSE)))/12*Summary!$D$12,2))</f>
        <v>429.33</v>
      </c>
      <c r="H24" s="58">
        <f>F24+G24</f>
        <v>1014.9966666666667</v>
      </c>
      <c r="I24" s="156">
        <f>IF(Summary!D27="Enroll",1,0)</f>
        <v>1</v>
      </c>
      <c r="J24" s="76">
        <f>IF(I24=1,F24,0)</f>
        <v>585.66666666666674</v>
      </c>
      <c r="K24" s="198">
        <f>IF(I24=1,G24,0)</f>
        <v>429.33</v>
      </c>
      <c r="L24" s="63">
        <f>J24+K24</f>
        <v>1014.9966666666667</v>
      </c>
      <c r="Q24" s="11">
        <v>58700</v>
      </c>
      <c r="R24" s="269">
        <v>150000</v>
      </c>
    </row>
    <row r="25" spans="2:20" ht="17.25" customHeight="1" x14ac:dyDescent="0.2">
      <c r="C25" s="15"/>
      <c r="F25" s="194"/>
      <c r="G25" s="167"/>
      <c r="H25" s="167"/>
      <c r="I25" s="168" t="s">
        <v>49</v>
      </c>
      <c r="J25" s="191">
        <f>SUM(J9:J24)</f>
        <v>637.45666666666671</v>
      </c>
      <c r="K25" s="200">
        <f>SUM(K9:K24)</f>
        <v>444.06</v>
      </c>
      <c r="L25" s="192">
        <f>J25+K25</f>
        <v>1081.5166666666667</v>
      </c>
      <c r="R25" s="284"/>
    </row>
    <row r="26" spans="2:20" ht="4.5" customHeight="1" x14ac:dyDescent="0.2">
      <c r="F26" s="169"/>
      <c r="G26" s="170"/>
      <c r="H26" s="171"/>
      <c r="I26" s="172"/>
    </row>
    <row r="27" spans="2:20" x14ac:dyDescent="0.2">
      <c r="B27" s="3" t="s">
        <v>3</v>
      </c>
      <c r="C27" s="15" t="s">
        <v>65</v>
      </c>
      <c r="D27" s="15" t="s">
        <v>126</v>
      </c>
      <c r="F27" s="20"/>
      <c r="G27" s="20"/>
      <c r="H27" s="21"/>
      <c r="I27" s="19"/>
      <c r="J27" s="19"/>
      <c r="K27" s="3"/>
    </row>
    <row r="28" spans="2:20" x14ac:dyDescent="0.2">
      <c r="C28" s="15"/>
      <c r="D28" s="15" t="s">
        <v>105</v>
      </c>
      <c r="F28" s="20"/>
      <c r="G28" s="20"/>
      <c r="H28" s="21"/>
      <c r="I28" s="19"/>
      <c r="J28" s="19"/>
      <c r="K28" s="3"/>
    </row>
    <row r="29" spans="2:20" x14ac:dyDescent="0.2">
      <c r="D29" s="15" t="s">
        <v>92</v>
      </c>
      <c r="I29" s="22"/>
      <c r="J29" s="22"/>
      <c r="K29" s="13"/>
    </row>
    <row r="30" spans="2:20" x14ac:dyDescent="0.2">
      <c r="D30" s="15" t="s">
        <v>127</v>
      </c>
      <c r="K30" s="13"/>
    </row>
    <row r="31" spans="2:20" x14ac:dyDescent="0.2">
      <c r="C31" s="15"/>
    </row>
    <row r="40" spans="9:9" x14ac:dyDescent="0.2">
      <c r="I40" s="281" t="s">
        <v>101</v>
      </c>
    </row>
  </sheetData>
  <sheetProtection algorithmName="SHA-512" hashValue="GZyEGs1qmChS1D9SRgVRQdKntTzcbfWkHff6HvZnu6PD4a5YkF/vlIQ+5wY8x/5+Pipq1OwUrHBZPCLcnT/92w==" saltValue="pWTorAkuLLDEk8SosHN0FA==" spinCount="100000" sheet="1" objects="1" scenarios="1"/>
  <phoneticPr fontId="0" type="noConversion"/>
  <dataValidations xWindow="506" yWindow="612" count="3">
    <dataValidation allowBlank="1" showInputMessage="1" showErrorMessage="1" errorTitle="Invalid Number" error="Must be a number between $5,000 and $500,000" sqref="E4:E6" xr:uid="{00000000-0002-0000-0300-000000000000}"/>
    <dataValidation allowBlank="1" prompt="_x000a_" sqref="E24" xr:uid="{00000000-0002-0000-0300-000001000000}"/>
    <dataValidation type="whole" allowBlank="1" errorTitle="Incorrect Selection" error="Value must be 1 or  0" sqref="I9 I14 I16 I18 I20 I22 I24" xr:uid="{00000000-0002-0000-0300-000002000000}">
      <formula1>0</formula1>
      <formula2>1</formula2>
    </dataValidation>
  </dataValidations>
  <pageMargins left="0.75" right="0.75" top="1" bottom="1" header="0.5" footer="0.5"/>
  <pageSetup paperSize="5" orientation="landscape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W38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F22" sqref="F22"/>
    </sheetView>
  </sheetViews>
  <sheetFormatPr defaultColWidth="8.85546875" defaultRowHeight="12.75" x14ac:dyDescent="0.2"/>
  <cols>
    <col min="1" max="1" width="44.85546875" style="277" customWidth="1"/>
    <col min="2" max="4" width="8.5703125" style="277" bestFit="1" customWidth="1"/>
    <col min="5" max="5" width="9.5703125" style="277" bestFit="1" customWidth="1"/>
    <col min="6" max="6" width="9" style="277" bestFit="1" customWidth="1"/>
    <col min="7" max="7" width="10.5703125" style="277" bestFit="1" customWidth="1"/>
    <col min="8" max="8" width="8.5703125" style="277" bestFit="1" customWidth="1"/>
    <col min="9" max="9" width="9.5703125" style="277" bestFit="1" customWidth="1"/>
    <col min="10" max="10" width="8.140625" style="277" customWidth="1"/>
    <col min="11" max="13" width="8.5703125" style="277" bestFit="1" customWidth="1"/>
    <col min="14" max="14" width="8.5703125" style="277" customWidth="1"/>
    <col min="15" max="17" width="8.5703125" style="277" bestFit="1" customWidth="1"/>
    <col min="18" max="18" width="8.42578125" style="277" customWidth="1"/>
    <col min="19" max="21" width="9" style="277" bestFit="1" customWidth="1"/>
    <col min="22" max="22" width="11.7109375" style="277" bestFit="1" customWidth="1"/>
    <col min="23" max="23" width="9" style="277" bestFit="1" customWidth="1"/>
    <col min="24" max="16384" width="8.85546875" style="277"/>
  </cols>
  <sheetData>
    <row r="1" spans="1:23" ht="16.5" thickBot="1" x14ac:dyDescent="0.3">
      <c r="A1" s="277" t="s">
        <v>72</v>
      </c>
      <c r="B1" s="363" t="s">
        <v>11</v>
      </c>
      <c r="C1" s="363"/>
      <c r="D1" s="363"/>
      <c r="E1" s="364"/>
      <c r="F1" s="363" t="s">
        <v>13</v>
      </c>
      <c r="G1" s="363"/>
      <c r="H1" s="363"/>
      <c r="I1" s="363"/>
      <c r="J1" s="365" t="s">
        <v>14</v>
      </c>
      <c r="K1" s="366"/>
      <c r="L1" s="366"/>
      <c r="M1" s="366"/>
      <c r="N1" s="363" t="s">
        <v>15</v>
      </c>
      <c r="O1" s="363"/>
      <c r="P1" s="363"/>
      <c r="Q1" s="364"/>
      <c r="R1" s="285" t="s">
        <v>36</v>
      </c>
      <c r="S1" s="360" t="s">
        <v>26</v>
      </c>
      <c r="T1" s="361"/>
      <c r="U1" s="361"/>
      <c r="V1" s="362"/>
      <c r="W1" s="295"/>
    </row>
    <row r="2" spans="1:23" ht="15.75" thickBot="1" x14ac:dyDescent="0.25">
      <c r="B2" s="296" t="s">
        <v>73</v>
      </c>
      <c r="C2" s="297" t="s">
        <v>75</v>
      </c>
      <c r="D2" s="297" t="s">
        <v>74</v>
      </c>
      <c r="E2" s="298" t="s">
        <v>76</v>
      </c>
      <c r="F2" s="296" t="s">
        <v>73</v>
      </c>
      <c r="G2" s="297" t="s">
        <v>75</v>
      </c>
      <c r="H2" s="297" t="s">
        <v>74</v>
      </c>
      <c r="I2" s="298" t="s">
        <v>76</v>
      </c>
      <c r="J2" s="296" t="s">
        <v>73</v>
      </c>
      <c r="K2" s="297" t="s">
        <v>75</v>
      </c>
      <c r="L2" s="297" t="s">
        <v>74</v>
      </c>
      <c r="M2" s="298" t="s">
        <v>76</v>
      </c>
      <c r="N2" s="296" t="s">
        <v>73</v>
      </c>
      <c r="O2" s="297" t="s">
        <v>75</v>
      </c>
      <c r="P2" s="297" t="s">
        <v>74</v>
      </c>
      <c r="Q2" s="298" t="s">
        <v>76</v>
      </c>
      <c r="R2" s="296" t="s">
        <v>94</v>
      </c>
      <c r="S2" s="299" t="s">
        <v>88</v>
      </c>
      <c r="T2" s="300" t="s">
        <v>89</v>
      </c>
      <c r="U2" s="301" t="s">
        <v>9</v>
      </c>
      <c r="V2" s="301" t="s">
        <v>93</v>
      </c>
      <c r="W2" s="302" t="s">
        <v>100</v>
      </c>
    </row>
    <row r="3" spans="1:23" s="286" customFormat="1" ht="15" x14ac:dyDescent="0.2">
      <c r="A3" s="292" t="s">
        <v>71</v>
      </c>
      <c r="B3" s="303">
        <v>23.16</v>
      </c>
      <c r="C3" s="304">
        <v>69.58</v>
      </c>
      <c r="D3" s="304">
        <v>84.48</v>
      </c>
      <c r="E3" s="305">
        <v>253.36</v>
      </c>
      <c r="F3" s="306">
        <v>18.18</v>
      </c>
      <c r="G3" s="307">
        <v>72.86</v>
      </c>
      <c r="H3" s="307">
        <v>42.2</v>
      </c>
      <c r="I3" s="308">
        <v>168.98</v>
      </c>
      <c r="J3" s="309">
        <v>2.14</v>
      </c>
      <c r="K3" s="310">
        <v>6.4</v>
      </c>
      <c r="L3" s="310">
        <v>4.2300000000000004</v>
      </c>
      <c r="M3" s="311">
        <v>12.72</v>
      </c>
      <c r="N3" s="312" t="s">
        <v>77</v>
      </c>
      <c r="O3" s="313" t="s">
        <v>77</v>
      </c>
      <c r="P3" s="313" t="s">
        <v>77</v>
      </c>
      <c r="Q3" s="313" t="s">
        <v>77</v>
      </c>
      <c r="R3" s="312">
        <f>ROUND(IF('Salary Related'!$E$4&gt;125000,MIN('Salary Related'!$E$4-125000,25000)/12/100*'Salary Related'!$Q$9*5),2)</f>
        <v>0</v>
      </c>
      <c r="S3" s="314">
        <v>9.1999999999999998E-2</v>
      </c>
      <c r="T3" s="315">
        <v>0.115</v>
      </c>
      <c r="U3" s="355">
        <v>0.1196</v>
      </c>
      <c r="V3" s="316">
        <v>173200</v>
      </c>
      <c r="W3" s="292">
        <f>ROUND(('Salary Related'!$Q$24*Lookups!S3+(Lookups!V3-'Salary Related'!$Q$24)*Lookups!T3)/12,2)</f>
        <v>1547.33</v>
      </c>
    </row>
    <row r="4" spans="1:23" s="286" customFormat="1" ht="15" x14ac:dyDescent="0.2">
      <c r="A4" s="292" t="s">
        <v>109</v>
      </c>
      <c r="B4" s="303">
        <v>19.760000000000002</v>
      </c>
      <c r="C4" s="304">
        <v>59.32</v>
      </c>
      <c r="D4" s="304">
        <v>71.36</v>
      </c>
      <c r="E4" s="305">
        <v>214</v>
      </c>
      <c r="F4" s="303">
        <v>15.8</v>
      </c>
      <c r="G4" s="304">
        <v>63.33</v>
      </c>
      <c r="H4" s="304">
        <v>35.04</v>
      </c>
      <c r="I4" s="305">
        <v>140.24</v>
      </c>
      <c r="J4" s="309">
        <v>2.14</v>
      </c>
      <c r="K4" s="310">
        <v>6.4</v>
      </c>
      <c r="L4" s="310">
        <v>4.2300000000000004</v>
      </c>
      <c r="M4" s="311">
        <v>12.72</v>
      </c>
      <c r="N4" s="317" t="s">
        <v>77</v>
      </c>
      <c r="O4" s="318" t="s">
        <v>77</v>
      </c>
      <c r="P4" s="318" t="s">
        <v>77</v>
      </c>
      <c r="Q4" s="318" t="s">
        <v>77</v>
      </c>
      <c r="R4" s="319">
        <f>ROUND(IF('Salary Related'!$E$4&gt;125000,MIN('Salary Related'!$E$4-125000,0)/12/100*'Salary Related'!$Q$9*5),2)</f>
        <v>0</v>
      </c>
      <c r="S4" s="320">
        <v>9.1999999999999998E-2</v>
      </c>
      <c r="T4" s="321">
        <v>0.115</v>
      </c>
      <c r="U4" s="356">
        <v>0.1255</v>
      </c>
      <c r="V4" s="322">
        <v>169500</v>
      </c>
      <c r="W4" s="292">
        <f>ROUND(('Salary Related'!$Q$24*Lookups!S4+(Lookups!V4-'Salary Related'!$Q$24)*Lookups!T4)/12,2)</f>
        <v>1511.87</v>
      </c>
    </row>
    <row r="5" spans="1:23" s="289" customFormat="1" ht="15" hidden="1" x14ac:dyDescent="0.2">
      <c r="A5" s="293" t="s">
        <v>81</v>
      </c>
      <c r="B5" s="323"/>
      <c r="C5" s="324"/>
      <c r="D5" s="324"/>
      <c r="E5" s="325"/>
      <c r="F5" s="323">
        <v>13.31</v>
      </c>
      <c r="G5" s="324">
        <v>53.16</v>
      </c>
      <c r="H5" s="324">
        <v>29.72</v>
      </c>
      <c r="I5" s="325">
        <v>118.88</v>
      </c>
      <c r="J5" s="326">
        <v>2.14</v>
      </c>
      <c r="K5" s="327">
        <v>6.4</v>
      </c>
      <c r="L5" s="327">
        <v>4.2300000000000004</v>
      </c>
      <c r="M5" s="328">
        <v>12.71</v>
      </c>
      <c r="N5" s="326">
        <v>2.1</v>
      </c>
      <c r="O5" s="327">
        <v>2.1</v>
      </c>
      <c r="P5" s="327">
        <v>6.11</v>
      </c>
      <c r="Q5" s="327">
        <v>6.11</v>
      </c>
      <c r="R5" s="329" t="b">
        <f>IF('Salary Related'!$E$4&gt;125000,MIN('Salary Related'!$E$4-125000,25000)/12/100*'Salary Related'!$Q$9*4)</f>
        <v>0</v>
      </c>
      <c r="S5" s="330">
        <v>4.4999999999999998E-2</v>
      </c>
      <c r="T5" s="331">
        <v>0.06</v>
      </c>
      <c r="U5" s="332">
        <v>0.12039999999999999</v>
      </c>
      <c r="V5" s="332"/>
      <c r="W5" s="333">
        <f>ROUND(('Salary Related'!$Q$24*Lookups!S5+(Lookups!V5-'Salary Related'!$Q$24)*Lookups!T5)/12,2)</f>
        <v>-73.38</v>
      </c>
    </row>
    <row r="6" spans="1:23" s="286" customFormat="1" ht="15" x14ac:dyDescent="0.2">
      <c r="A6" s="292" t="s">
        <v>78</v>
      </c>
      <c r="B6" s="303">
        <v>26.64</v>
      </c>
      <c r="C6" s="304">
        <v>79.900000000000006</v>
      </c>
      <c r="D6" s="304">
        <v>90.76</v>
      </c>
      <c r="E6" s="305">
        <v>272.32</v>
      </c>
      <c r="F6" s="303">
        <v>16.46</v>
      </c>
      <c r="G6" s="304">
        <v>65.88</v>
      </c>
      <c r="H6" s="304">
        <v>38.64</v>
      </c>
      <c r="I6" s="305">
        <v>154.46</v>
      </c>
      <c r="J6" s="317" t="s">
        <v>77</v>
      </c>
      <c r="K6" s="318" t="s">
        <v>77</v>
      </c>
      <c r="L6" s="318" t="s">
        <v>77</v>
      </c>
      <c r="M6" s="334" t="s">
        <v>77</v>
      </c>
      <c r="N6" s="317" t="s">
        <v>77</v>
      </c>
      <c r="O6" s="318" t="s">
        <v>77</v>
      </c>
      <c r="P6" s="318" t="s">
        <v>77</v>
      </c>
      <c r="Q6" s="318" t="s">
        <v>77</v>
      </c>
      <c r="R6" s="319">
        <f>ROUND(IF('Salary Related'!$E$4&gt;125000,MIN('Salary Related'!$E$4-125000,0)/12/100*'Salary Related'!$Q$9*5),2)</f>
        <v>0</v>
      </c>
      <c r="S6" s="320">
        <v>9.1999999999999998E-2</v>
      </c>
      <c r="T6" s="321">
        <v>0.115</v>
      </c>
      <c r="U6" s="356">
        <v>0.1255</v>
      </c>
      <c r="V6" s="322">
        <v>169500</v>
      </c>
      <c r="W6" s="292">
        <f>ROUND(('Salary Related'!$Q$24*Lookups!S6+(Lookups!V6-'Salary Related'!$Q$24)*Lookups!T6)/12,2)</f>
        <v>1511.87</v>
      </c>
    </row>
    <row r="7" spans="1:23" s="286" customFormat="1" ht="15" x14ac:dyDescent="0.2">
      <c r="A7" s="292" t="s">
        <v>79</v>
      </c>
      <c r="B7" s="303">
        <v>26.64</v>
      </c>
      <c r="C7" s="304">
        <v>79.900000000000006</v>
      </c>
      <c r="D7" s="304">
        <v>90.76</v>
      </c>
      <c r="E7" s="305">
        <v>272.32</v>
      </c>
      <c r="F7" s="303">
        <v>16.46</v>
      </c>
      <c r="G7" s="304">
        <v>65.88</v>
      </c>
      <c r="H7" s="304">
        <v>38.64</v>
      </c>
      <c r="I7" s="305">
        <v>154.46</v>
      </c>
      <c r="J7" s="317" t="s">
        <v>77</v>
      </c>
      <c r="K7" s="318" t="s">
        <v>77</v>
      </c>
      <c r="L7" s="318" t="s">
        <v>77</v>
      </c>
      <c r="M7" s="334" t="s">
        <v>77</v>
      </c>
      <c r="N7" s="317" t="s">
        <v>77</v>
      </c>
      <c r="O7" s="318" t="s">
        <v>77</v>
      </c>
      <c r="P7" s="318" t="s">
        <v>77</v>
      </c>
      <c r="Q7" s="318" t="s">
        <v>77</v>
      </c>
      <c r="R7" s="319">
        <f>ROUND(IF('Salary Related'!$E$4&gt;125000,MIN('Salary Related'!$E$4-125000,0)/12/100*'Salary Related'!$Q$9*5),2)</f>
        <v>0</v>
      </c>
      <c r="S7" s="320">
        <v>9.1999999999999998E-2</v>
      </c>
      <c r="T7" s="321">
        <v>0.115</v>
      </c>
      <c r="U7" s="356">
        <v>0.1255</v>
      </c>
      <c r="V7" s="322">
        <v>169500</v>
      </c>
      <c r="W7" s="292">
        <f>ROUND(('Salary Related'!$Q$24*Lookups!S7+(Lookups!V7-'Salary Related'!$Q$24)*Lookups!T7)/12,2)</f>
        <v>1511.87</v>
      </c>
    </row>
    <row r="8" spans="1:23" s="289" customFormat="1" ht="15" hidden="1" x14ac:dyDescent="0.2">
      <c r="A8" s="293" t="s">
        <v>85</v>
      </c>
      <c r="B8" s="323"/>
      <c r="C8" s="324"/>
      <c r="D8" s="324"/>
      <c r="E8" s="325"/>
      <c r="F8" s="323">
        <v>13.31</v>
      </c>
      <c r="G8" s="324">
        <v>53.16</v>
      </c>
      <c r="H8" s="324">
        <v>29.72</v>
      </c>
      <c r="I8" s="325">
        <v>118.88</v>
      </c>
      <c r="J8" s="326">
        <v>2.14</v>
      </c>
      <c r="K8" s="327">
        <v>6.4</v>
      </c>
      <c r="L8" s="327">
        <v>4.2300000000000004</v>
      </c>
      <c r="M8" s="328">
        <v>12.71</v>
      </c>
      <c r="N8" s="335">
        <v>2.1</v>
      </c>
      <c r="O8" s="336">
        <v>2.1</v>
      </c>
      <c r="P8" s="336">
        <v>6.11</v>
      </c>
      <c r="Q8" s="336">
        <v>6.11</v>
      </c>
      <c r="R8" s="337">
        <f>ROUND(IF('Salary Related'!$E$4&gt;125000,MIN('Salary Related'!$E$4-125000,0)/12/100*'Salary Related'!$Q$9*5),2)</f>
        <v>0</v>
      </c>
      <c r="S8" s="330">
        <v>0.05</v>
      </c>
      <c r="T8" s="331">
        <v>0.06</v>
      </c>
      <c r="U8" s="332">
        <v>0.1169</v>
      </c>
      <c r="V8" s="338">
        <v>150000</v>
      </c>
      <c r="W8" s="333">
        <f>ROUND(('Salary Related'!$Q$24*Lookups!S8+(Lookups!V8-'Salary Related'!$Q$24)*Lookups!T8)/12,2)</f>
        <v>701.08</v>
      </c>
    </row>
    <row r="9" spans="1:23" s="286" customFormat="1" ht="15" x14ac:dyDescent="0.2">
      <c r="A9" s="292" t="s">
        <v>80</v>
      </c>
      <c r="B9" s="303">
        <v>22.3</v>
      </c>
      <c r="C9" s="304">
        <v>66.8</v>
      </c>
      <c r="D9" s="304">
        <v>80.239999999999995</v>
      </c>
      <c r="E9" s="305">
        <v>240.78</v>
      </c>
      <c r="F9" s="303">
        <v>16.46</v>
      </c>
      <c r="G9" s="304">
        <v>65.88</v>
      </c>
      <c r="H9" s="304">
        <v>38.64</v>
      </c>
      <c r="I9" s="305">
        <v>154.46</v>
      </c>
      <c r="J9" s="317" t="s">
        <v>77</v>
      </c>
      <c r="K9" s="318" t="s">
        <v>77</v>
      </c>
      <c r="L9" s="318" t="s">
        <v>77</v>
      </c>
      <c r="M9" s="334" t="s">
        <v>77</v>
      </c>
      <c r="N9" s="303">
        <v>5.68</v>
      </c>
      <c r="O9" s="304">
        <v>5.68</v>
      </c>
      <c r="P9" s="304">
        <v>15.16</v>
      </c>
      <c r="Q9" s="304">
        <v>15.16</v>
      </c>
      <c r="R9" s="339">
        <f>ROUND(IF('Salary Related'!$E$4&gt;125000,MIN('Salary Related'!$E$4-125000,0)/12/100*'Salary Related'!$Q$9*5),2)</f>
        <v>0</v>
      </c>
      <c r="S9" s="320">
        <v>9.1999999999999998E-2</v>
      </c>
      <c r="T9" s="321">
        <v>0.115</v>
      </c>
      <c r="U9" s="356">
        <v>0.1255</v>
      </c>
      <c r="V9" s="322">
        <v>173200</v>
      </c>
      <c r="W9" s="292">
        <f>ROUND(('Salary Related'!$Q$24*Lookups!S9+(Lookups!V9-'Salary Related'!$Q$24)*Lookups!T9)/12,2)</f>
        <v>1547.33</v>
      </c>
    </row>
    <row r="10" spans="1:23" s="286" customFormat="1" ht="15" x14ac:dyDescent="0.2">
      <c r="A10" s="292" t="s">
        <v>119</v>
      </c>
      <c r="B10" s="303">
        <v>20.82</v>
      </c>
      <c r="C10" s="304">
        <v>62.44</v>
      </c>
      <c r="D10" s="304">
        <v>75.7</v>
      </c>
      <c r="E10" s="305">
        <v>227.16</v>
      </c>
      <c r="F10" s="303">
        <v>14.76</v>
      </c>
      <c r="G10" s="304">
        <v>58.94</v>
      </c>
      <c r="H10" s="304">
        <v>36.9</v>
      </c>
      <c r="I10" s="305">
        <v>147.62</v>
      </c>
      <c r="J10" s="319" t="s">
        <v>77</v>
      </c>
      <c r="K10" s="340" t="s">
        <v>77</v>
      </c>
      <c r="L10" s="340" t="s">
        <v>77</v>
      </c>
      <c r="M10" s="341" t="s">
        <v>77</v>
      </c>
      <c r="N10" s="342">
        <v>4.54</v>
      </c>
      <c r="O10" s="343">
        <v>4.54</v>
      </c>
      <c r="P10" s="343">
        <v>13.08</v>
      </c>
      <c r="Q10" s="343">
        <v>13.08</v>
      </c>
      <c r="R10" s="344">
        <f>ROUND(IF('Salary Related'!$E$4&gt;125000,MIN('Salary Related'!$E$4-125000,0)/12/100*'Salary Related'!$Q$9*5),2)</f>
        <v>0</v>
      </c>
      <c r="S10" s="320">
        <v>9.1999999999999998E-2</v>
      </c>
      <c r="T10" s="321">
        <v>0.115</v>
      </c>
      <c r="U10" s="356">
        <v>0.1255</v>
      </c>
      <c r="V10" s="322">
        <v>169500</v>
      </c>
      <c r="W10" s="292">
        <f>ROUND(('Salary Related'!$Q$24*Lookups!S10+(Lookups!V10-'Salary Related'!$Q$24)*Lookups!T10)/12,2)</f>
        <v>1511.87</v>
      </c>
    </row>
    <row r="11" spans="1:23" s="286" customFormat="1" ht="15.6" customHeight="1" x14ac:dyDescent="0.2">
      <c r="A11" s="292" t="s">
        <v>118</v>
      </c>
      <c r="B11" s="303">
        <v>25.98</v>
      </c>
      <c r="C11" s="304">
        <v>77.92</v>
      </c>
      <c r="D11" s="304">
        <v>89.56</v>
      </c>
      <c r="E11" s="305">
        <v>268.74</v>
      </c>
      <c r="F11" s="303">
        <v>15.24</v>
      </c>
      <c r="G11" s="304">
        <v>60.84</v>
      </c>
      <c r="H11" s="304">
        <v>38.18</v>
      </c>
      <c r="I11" s="305">
        <v>152.78</v>
      </c>
      <c r="J11" s="317" t="s">
        <v>77</v>
      </c>
      <c r="K11" s="318" t="s">
        <v>77</v>
      </c>
      <c r="L11" s="318" t="s">
        <v>77</v>
      </c>
      <c r="M11" s="334" t="s">
        <v>77</v>
      </c>
      <c r="N11" s="317" t="s">
        <v>77</v>
      </c>
      <c r="O11" s="318" t="s">
        <v>77</v>
      </c>
      <c r="P11" s="318" t="s">
        <v>77</v>
      </c>
      <c r="Q11" s="318" t="s">
        <v>77</v>
      </c>
      <c r="R11" s="319">
        <f>ROUND(IF('Salary Related'!$E$4&gt;125000,MIN('Salary Related'!$E$4-125000,0)/12/100*'Salary Related'!$Q$9*5),2)</f>
        <v>0</v>
      </c>
      <c r="S11" s="320">
        <v>9.1999999999999998E-2</v>
      </c>
      <c r="T11" s="321">
        <v>0.115</v>
      </c>
      <c r="U11" s="356">
        <v>0.1255</v>
      </c>
      <c r="V11" s="322">
        <v>169500</v>
      </c>
      <c r="W11" s="292">
        <f>ROUND(('Salary Related'!$Q$24*Lookups!S11+(Lookups!V11-'Salary Related'!$Q$24)*Lookups!T11)/12,2)</f>
        <v>1511.87</v>
      </c>
    </row>
    <row r="12" spans="1:23" s="286" customFormat="1" ht="15.6" customHeight="1" x14ac:dyDescent="0.2">
      <c r="A12" s="292" t="s">
        <v>113</v>
      </c>
      <c r="B12" s="303">
        <v>22.68</v>
      </c>
      <c r="C12" s="304">
        <v>68.06</v>
      </c>
      <c r="D12" s="304">
        <v>81.38</v>
      </c>
      <c r="E12" s="305">
        <v>244.24</v>
      </c>
      <c r="F12" s="303">
        <v>15.24</v>
      </c>
      <c r="G12" s="304">
        <v>60.84</v>
      </c>
      <c r="H12" s="304">
        <v>38.18</v>
      </c>
      <c r="I12" s="305">
        <v>152.78</v>
      </c>
      <c r="J12" s="317" t="s">
        <v>77</v>
      </c>
      <c r="K12" s="318" t="s">
        <v>77</v>
      </c>
      <c r="L12" s="318" t="s">
        <v>77</v>
      </c>
      <c r="M12" s="334" t="s">
        <v>77</v>
      </c>
      <c r="N12" s="303">
        <v>5.68</v>
      </c>
      <c r="O12" s="304">
        <v>5.68</v>
      </c>
      <c r="P12" s="304">
        <v>15.16</v>
      </c>
      <c r="Q12" s="304">
        <v>15.16</v>
      </c>
      <c r="R12" s="339">
        <f>ROUND(IF('Salary Related'!$E$4&gt;125000,MIN('Salary Related'!$E$4-125000,0)/12/100*'Salary Related'!$Q$9*5),2)</f>
        <v>0</v>
      </c>
      <c r="S12" s="320">
        <v>9.1999999999999998E-2</v>
      </c>
      <c r="T12" s="321">
        <v>0.115</v>
      </c>
      <c r="U12" s="356">
        <v>0.1255</v>
      </c>
      <c r="V12" s="322">
        <v>169500</v>
      </c>
      <c r="W12" s="292">
        <f>ROUND(('Salary Related'!$Q$24*Lookups!S12+(Lookups!V12-'Salary Related'!$Q$24)*Lookups!T12)/12,2)</f>
        <v>1511.87</v>
      </c>
    </row>
    <row r="13" spans="1:23" s="286" customFormat="1" ht="15.6" customHeight="1" x14ac:dyDescent="0.2">
      <c r="A13" s="292" t="s">
        <v>110</v>
      </c>
      <c r="B13" s="303">
        <v>22.68</v>
      </c>
      <c r="C13" s="304">
        <v>68.06</v>
      </c>
      <c r="D13" s="304">
        <v>81.38</v>
      </c>
      <c r="E13" s="305">
        <v>244.24</v>
      </c>
      <c r="F13" s="303">
        <v>15.24</v>
      </c>
      <c r="G13" s="304">
        <v>60.84</v>
      </c>
      <c r="H13" s="304">
        <v>38.18</v>
      </c>
      <c r="I13" s="305">
        <v>152.78</v>
      </c>
      <c r="J13" s="317" t="s">
        <v>77</v>
      </c>
      <c r="K13" s="318" t="s">
        <v>77</v>
      </c>
      <c r="L13" s="318" t="s">
        <v>77</v>
      </c>
      <c r="M13" s="334" t="s">
        <v>77</v>
      </c>
      <c r="N13" s="303">
        <v>5.68</v>
      </c>
      <c r="O13" s="304">
        <v>5.68</v>
      </c>
      <c r="P13" s="304">
        <v>15.16</v>
      </c>
      <c r="Q13" s="304">
        <v>15.16</v>
      </c>
      <c r="R13" s="339">
        <f>ROUND(IF('Salary Related'!$E$4&gt;125000,MIN('Salary Related'!$E$4-125000,0)/12/100*'Salary Related'!$Q$9*5),2)</f>
        <v>0</v>
      </c>
      <c r="S13" s="320">
        <v>9.1999999999999998E-2</v>
      </c>
      <c r="T13" s="321">
        <v>0.115</v>
      </c>
      <c r="U13" s="356">
        <v>0.1255</v>
      </c>
      <c r="V13" s="322">
        <v>169500</v>
      </c>
      <c r="W13" s="292">
        <f>ROUND(('Salary Related'!$Q$24*Lookups!S13+(Lookups!V13-'Salary Related'!$Q$24)*Lookups!T13)/12,2)</f>
        <v>1511.87</v>
      </c>
    </row>
    <row r="14" spans="1:23" s="286" customFormat="1" ht="15" x14ac:dyDescent="0.2">
      <c r="A14" s="292" t="s">
        <v>111</v>
      </c>
      <c r="B14" s="303">
        <v>22.68</v>
      </c>
      <c r="C14" s="304">
        <v>68.06</v>
      </c>
      <c r="D14" s="304">
        <v>81.38</v>
      </c>
      <c r="E14" s="305">
        <v>244.24</v>
      </c>
      <c r="F14" s="303">
        <v>15.24</v>
      </c>
      <c r="G14" s="304">
        <v>60.84</v>
      </c>
      <c r="H14" s="304">
        <v>38.18</v>
      </c>
      <c r="I14" s="305">
        <v>152.78</v>
      </c>
      <c r="J14" s="317" t="s">
        <v>77</v>
      </c>
      <c r="K14" s="318" t="s">
        <v>77</v>
      </c>
      <c r="L14" s="318" t="s">
        <v>77</v>
      </c>
      <c r="M14" s="334" t="s">
        <v>77</v>
      </c>
      <c r="N14" s="303">
        <v>5.68</v>
      </c>
      <c r="O14" s="304">
        <v>5.68</v>
      </c>
      <c r="P14" s="304">
        <v>15.16</v>
      </c>
      <c r="Q14" s="304">
        <v>15.16</v>
      </c>
      <c r="R14" s="339">
        <f>ROUND(IF('Salary Related'!$E$4&gt;125000,MIN('Salary Related'!$E$4-125000,0)/12/100*'Salary Related'!$Q$9*5),2)</f>
        <v>0</v>
      </c>
      <c r="S14" s="320">
        <v>9.1999999999999998E-2</v>
      </c>
      <c r="T14" s="321">
        <v>0.115</v>
      </c>
      <c r="U14" s="356">
        <v>0.1255</v>
      </c>
      <c r="V14" s="322">
        <v>169500</v>
      </c>
      <c r="W14" s="292">
        <f>ROUND(('Salary Related'!$Q$24*Lookups!S14+(Lookups!V14-'Salary Related'!$Q$24)*Lookups!T14)/12,2)</f>
        <v>1511.87</v>
      </c>
    </row>
    <row r="15" spans="1:23" s="286" customFormat="1" ht="15" x14ac:dyDescent="0.2">
      <c r="A15" s="292" t="s">
        <v>112</v>
      </c>
      <c r="B15" s="303">
        <v>22.68</v>
      </c>
      <c r="C15" s="304">
        <v>68.06</v>
      </c>
      <c r="D15" s="304">
        <v>81.38</v>
      </c>
      <c r="E15" s="305">
        <v>244.24</v>
      </c>
      <c r="F15" s="303">
        <v>15.24</v>
      </c>
      <c r="G15" s="304">
        <v>60.84</v>
      </c>
      <c r="H15" s="304">
        <v>38.18</v>
      </c>
      <c r="I15" s="305">
        <v>152.78</v>
      </c>
      <c r="J15" s="319" t="s">
        <v>77</v>
      </c>
      <c r="K15" s="340" t="s">
        <v>77</v>
      </c>
      <c r="L15" s="340" t="s">
        <v>77</v>
      </c>
      <c r="M15" s="341" t="s">
        <v>77</v>
      </c>
      <c r="N15" s="342">
        <v>5.68</v>
      </c>
      <c r="O15" s="343">
        <v>5.68</v>
      </c>
      <c r="P15" s="343">
        <v>15.16</v>
      </c>
      <c r="Q15" s="343">
        <v>15.16</v>
      </c>
      <c r="R15" s="344">
        <f>ROUND(IF('Salary Related'!$E$4&gt;125000,MIN('Salary Related'!$E$4-125000,0)/12/100*'Salary Related'!$Q$9*5),2)</f>
        <v>0</v>
      </c>
      <c r="S15" s="320">
        <v>9.1999999999999998E-2</v>
      </c>
      <c r="T15" s="321">
        <v>0.115</v>
      </c>
      <c r="U15" s="356">
        <v>0.1255</v>
      </c>
      <c r="V15" s="322">
        <v>169500</v>
      </c>
      <c r="W15" s="292">
        <f>ROUND(('Salary Related'!$Q$24*Lookups!S15+(Lookups!V15-'Salary Related'!$Q$24)*Lookups!T15)/12,2)</f>
        <v>1511.87</v>
      </c>
    </row>
    <row r="16" spans="1:23" s="286" customFormat="1" ht="15" x14ac:dyDescent="0.2">
      <c r="A16" s="292" t="s">
        <v>114</v>
      </c>
      <c r="B16" s="303">
        <v>22.68</v>
      </c>
      <c r="C16" s="304">
        <v>68.06</v>
      </c>
      <c r="D16" s="304">
        <v>81.38</v>
      </c>
      <c r="E16" s="305">
        <v>244.24</v>
      </c>
      <c r="F16" s="303">
        <v>15.24</v>
      </c>
      <c r="G16" s="304">
        <v>60.84</v>
      </c>
      <c r="H16" s="304">
        <v>38.18</v>
      </c>
      <c r="I16" s="305">
        <v>152.78</v>
      </c>
      <c r="J16" s="319" t="s">
        <v>77</v>
      </c>
      <c r="K16" s="340" t="s">
        <v>77</v>
      </c>
      <c r="L16" s="340" t="s">
        <v>77</v>
      </c>
      <c r="M16" s="341" t="s">
        <v>77</v>
      </c>
      <c r="N16" s="342">
        <v>5.68</v>
      </c>
      <c r="O16" s="343">
        <v>5.68</v>
      </c>
      <c r="P16" s="343">
        <v>15.16</v>
      </c>
      <c r="Q16" s="343">
        <v>15.16</v>
      </c>
      <c r="R16" s="344">
        <f>ROUND(IF('Salary Related'!$E$4&gt;125000,MIN('Salary Related'!$E$4-125000,0)/12/100*'Salary Related'!$Q$9*5),2)</f>
        <v>0</v>
      </c>
      <c r="S16" s="320">
        <v>9.1999999999999998E-2</v>
      </c>
      <c r="T16" s="321">
        <v>0.115</v>
      </c>
      <c r="U16" s="356">
        <v>0.1255</v>
      </c>
      <c r="V16" s="322">
        <v>169500</v>
      </c>
      <c r="W16" s="292">
        <f>ROUND(('Salary Related'!$Q$24*Lookups!S16+(Lookups!V16-'Salary Related'!$Q$24)*Lookups!T16)/12,2)</f>
        <v>1511.87</v>
      </c>
    </row>
    <row r="17" spans="1:23" s="286" customFormat="1" ht="15" x14ac:dyDescent="0.2">
      <c r="A17" s="292" t="s">
        <v>115</v>
      </c>
      <c r="B17" s="303">
        <v>17.100000000000001</v>
      </c>
      <c r="C17" s="304">
        <v>51.26</v>
      </c>
      <c r="D17" s="304">
        <v>64.959999999999994</v>
      </c>
      <c r="E17" s="305">
        <v>194.94</v>
      </c>
      <c r="F17" s="303">
        <v>14.76</v>
      </c>
      <c r="G17" s="304">
        <v>58.94</v>
      </c>
      <c r="H17" s="304">
        <v>36.9</v>
      </c>
      <c r="I17" s="305">
        <v>147.62</v>
      </c>
      <c r="J17" s="309">
        <v>2.14</v>
      </c>
      <c r="K17" s="310">
        <v>6.4</v>
      </c>
      <c r="L17" s="310">
        <v>4.24</v>
      </c>
      <c r="M17" s="311">
        <v>12.72</v>
      </c>
      <c r="N17" s="342">
        <v>3.94</v>
      </c>
      <c r="O17" s="343">
        <v>3.94</v>
      </c>
      <c r="P17" s="343">
        <v>11.36</v>
      </c>
      <c r="Q17" s="343">
        <v>11.36</v>
      </c>
      <c r="R17" s="344">
        <f>ROUND(IF('Salary Related'!$E$4&gt;125000,MIN('Salary Related'!$E$4-125000,0)/12/100*'Salary Related'!$Q$9*5),2)</f>
        <v>0</v>
      </c>
      <c r="S17" s="320">
        <v>9.1999999999999998E-2</v>
      </c>
      <c r="T17" s="321">
        <v>0.115</v>
      </c>
      <c r="U17" s="356">
        <v>0.1255</v>
      </c>
      <c r="V17" s="322">
        <v>173200</v>
      </c>
      <c r="W17" s="292">
        <f>ROUND(('Salary Related'!$Q$24*Lookups!S17+(Lookups!V17-'Salary Related'!$Q$24)*Lookups!T17)/12,2)</f>
        <v>1547.33</v>
      </c>
    </row>
    <row r="18" spans="1:23" s="286" customFormat="1" ht="15" x14ac:dyDescent="0.2">
      <c r="A18" s="292" t="s">
        <v>116</v>
      </c>
      <c r="B18" s="303">
        <v>20.239999999999998</v>
      </c>
      <c r="C18" s="304">
        <v>60.64</v>
      </c>
      <c r="D18" s="304">
        <v>73.48</v>
      </c>
      <c r="E18" s="305">
        <v>217.24</v>
      </c>
      <c r="F18" s="303">
        <v>14.74</v>
      </c>
      <c r="G18" s="304">
        <v>58.94</v>
      </c>
      <c r="H18" s="304">
        <v>36.9</v>
      </c>
      <c r="I18" s="305">
        <v>147.62</v>
      </c>
      <c r="J18" s="317" t="s">
        <v>77</v>
      </c>
      <c r="K18" s="318" t="s">
        <v>77</v>
      </c>
      <c r="L18" s="318" t="s">
        <v>77</v>
      </c>
      <c r="M18" s="334" t="s">
        <v>77</v>
      </c>
      <c r="N18" s="303">
        <v>3.94</v>
      </c>
      <c r="O18" s="304">
        <v>3.94</v>
      </c>
      <c r="P18" s="304">
        <v>11.38</v>
      </c>
      <c r="Q18" s="304">
        <v>11.38</v>
      </c>
      <c r="R18" s="339">
        <f>ROUND(IF('Salary Related'!$E$4&gt;125000,MIN('Salary Related'!$E$4-125000,0)/12/100*'Salary Related'!$Q$9*5),2)</f>
        <v>0</v>
      </c>
      <c r="S18" s="320">
        <v>9.1999999999999998E-2</v>
      </c>
      <c r="T18" s="321">
        <v>0.115</v>
      </c>
      <c r="U18" s="356">
        <v>0.1255</v>
      </c>
      <c r="V18" s="322">
        <v>158000</v>
      </c>
      <c r="W18" s="292">
        <f>ROUND(('Salary Related'!$Q$24*Lookups!S18+(Lookups!V18-'Salary Related'!$Q$24)*Lookups!T18)/12,2)</f>
        <v>1401.66</v>
      </c>
    </row>
    <row r="19" spans="1:23" s="286" customFormat="1" ht="15" x14ac:dyDescent="0.2">
      <c r="A19" s="292" t="s">
        <v>117</v>
      </c>
      <c r="B19" s="303">
        <v>22.68</v>
      </c>
      <c r="C19" s="304">
        <v>68.06</v>
      </c>
      <c r="D19" s="304">
        <v>81.38</v>
      </c>
      <c r="E19" s="305">
        <v>244.24</v>
      </c>
      <c r="F19" s="303">
        <v>15.24</v>
      </c>
      <c r="G19" s="304">
        <v>60.84</v>
      </c>
      <c r="H19" s="304">
        <v>38.18</v>
      </c>
      <c r="I19" s="305">
        <v>152.78</v>
      </c>
      <c r="J19" s="319" t="s">
        <v>77</v>
      </c>
      <c r="K19" s="340" t="s">
        <v>77</v>
      </c>
      <c r="L19" s="340" t="s">
        <v>77</v>
      </c>
      <c r="M19" s="341" t="s">
        <v>77</v>
      </c>
      <c r="N19" s="342">
        <v>5.68</v>
      </c>
      <c r="O19" s="343">
        <v>5.68</v>
      </c>
      <c r="P19" s="343">
        <v>15.16</v>
      </c>
      <c r="Q19" s="343">
        <v>15.16</v>
      </c>
      <c r="R19" s="344">
        <f>ROUND(IF('Salary Related'!$E$4&gt;125000,MIN('Salary Related'!$E$4-125000,0)/12/100*'Salary Related'!$Q$9*5),2)</f>
        <v>0</v>
      </c>
      <c r="S19" s="320">
        <v>9.1999999999999998E-2</v>
      </c>
      <c r="T19" s="321">
        <v>0.115</v>
      </c>
      <c r="U19" s="356">
        <v>0.1255</v>
      </c>
      <c r="V19" s="322">
        <v>173200</v>
      </c>
      <c r="W19" s="292">
        <f>ROUND(('Salary Related'!$Q$24*Lookups!S19+(Lookups!V19-'Salary Related'!$Q$24)*Lookups!T19)/12,2)</f>
        <v>1547.33</v>
      </c>
    </row>
    <row r="20" spans="1:23" s="286" customFormat="1" ht="15" x14ac:dyDescent="0.2">
      <c r="A20" s="292" t="s">
        <v>83</v>
      </c>
      <c r="B20" s="303">
        <v>22.68</v>
      </c>
      <c r="C20" s="304">
        <v>68.06</v>
      </c>
      <c r="D20" s="304">
        <v>81.38</v>
      </c>
      <c r="E20" s="305">
        <v>244.24</v>
      </c>
      <c r="F20" s="303">
        <v>15.24</v>
      </c>
      <c r="G20" s="304">
        <v>60.84</v>
      </c>
      <c r="H20" s="304">
        <v>38.18</v>
      </c>
      <c r="I20" s="305">
        <v>152.78</v>
      </c>
      <c r="J20" s="317" t="s">
        <v>77</v>
      </c>
      <c r="K20" s="318" t="s">
        <v>77</v>
      </c>
      <c r="L20" s="318" t="s">
        <v>77</v>
      </c>
      <c r="M20" s="334" t="s">
        <v>77</v>
      </c>
      <c r="N20" s="303">
        <v>5.68</v>
      </c>
      <c r="O20" s="304">
        <v>5.68</v>
      </c>
      <c r="P20" s="304">
        <v>15.16</v>
      </c>
      <c r="Q20" s="304">
        <v>15.16</v>
      </c>
      <c r="R20" s="339">
        <f>ROUND(IF('Salary Related'!$E$4&gt;125000,MIN('Salary Related'!$E$4-125000,0)/12/100*'Salary Related'!$Q$9*5),2)</f>
        <v>0</v>
      </c>
      <c r="S20" s="320">
        <v>9.1999999999999998E-2</v>
      </c>
      <c r="T20" s="321">
        <v>0.115</v>
      </c>
      <c r="U20" s="356">
        <v>0.1255</v>
      </c>
      <c r="V20" s="322">
        <v>169500</v>
      </c>
      <c r="W20" s="292">
        <f>ROUND(('Salary Related'!$Q$24*Lookups!S20+(Lookups!V20-'Salary Related'!$Q$24)*Lookups!T20)/12,2)</f>
        <v>1511.87</v>
      </c>
    </row>
    <row r="21" spans="1:23" s="286" customFormat="1" ht="15.75" thickBot="1" x14ac:dyDescent="0.25">
      <c r="A21" s="292" t="s">
        <v>84</v>
      </c>
      <c r="B21" s="345">
        <v>26.64</v>
      </c>
      <c r="C21" s="346">
        <v>79.900000000000006</v>
      </c>
      <c r="D21" s="346">
        <v>90.76</v>
      </c>
      <c r="E21" s="347">
        <v>272.32</v>
      </c>
      <c r="F21" s="345">
        <v>16.46</v>
      </c>
      <c r="G21" s="346">
        <v>65.88</v>
      </c>
      <c r="H21" s="346">
        <v>38.64</v>
      </c>
      <c r="I21" s="347">
        <v>154.46</v>
      </c>
      <c r="J21" s="348" t="s">
        <v>77</v>
      </c>
      <c r="K21" s="349" t="s">
        <v>77</v>
      </c>
      <c r="L21" s="349" t="s">
        <v>77</v>
      </c>
      <c r="M21" s="350" t="s">
        <v>77</v>
      </c>
      <c r="N21" s="348" t="s">
        <v>77</v>
      </c>
      <c r="O21" s="349" t="s">
        <v>77</v>
      </c>
      <c r="P21" s="349" t="s">
        <v>77</v>
      </c>
      <c r="Q21" s="349" t="s">
        <v>77</v>
      </c>
      <c r="R21" s="351">
        <f>ROUND(IF('Salary Related'!$E$4&gt;125000,MIN('Salary Related'!$E$4-125000,0)/12/100*'Salary Related'!$Q$9*5),2)</f>
        <v>0</v>
      </c>
      <c r="S21" s="352">
        <v>9.1999999999999998E-2</v>
      </c>
      <c r="T21" s="353">
        <v>0.115</v>
      </c>
      <c r="U21" s="357">
        <v>0.1196</v>
      </c>
      <c r="V21" s="354">
        <v>173200</v>
      </c>
      <c r="W21" s="292">
        <f>ROUND(('Salary Related'!$Q$24*Lookups!S21+(Lookups!V21-'Salary Related'!$Q$24)*Lookups!T21)/12,2)</f>
        <v>1547.33</v>
      </c>
    </row>
    <row r="22" spans="1:23" s="278" customFormat="1" ht="15" x14ac:dyDescent="0.2">
      <c r="A22" s="294"/>
      <c r="J22" s="279"/>
      <c r="K22" s="279"/>
      <c r="L22" s="279"/>
      <c r="M22" s="279"/>
    </row>
    <row r="23" spans="1:23" s="278" customFormat="1" x14ac:dyDescent="0.2">
      <c r="A23" s="283" t="s">
        <v>125</v>
      </c>
      <c r="J23" s="279"/>
      <c r="K23" s="279"/>
      <c r="L23" s="279"/>
      <c r="M23" s="279"/>
    </row>
    <row r="24" spans="1:23" s="278" customFormat="1" hidden="1" x14ac:dyDescent="0.2">
      <c r="A24" s="283"/>
      <c r="J24" s="279"/>
      <c r="K24" s="279"/>
      <c r="L24" s="279"/>
      <c r="M24" s="279"/>
    </row>
    <row r="25" spans="1:23" s="278" customFormat="1" hidden="1" x14ac:dyDescent="0.2">
      <c r="J25" s="279"/>
      <c r="K25" s="279"/>
      <c r="L25" s="279"/>
      <c r="M25" s="279"/>
    </row>
    <row r="26" spans="1:23" s="278" customFormat="1" hidden="1" x14ac:dyDescent="0.2">
      <c r="A26" s="283" t="s">
        <v>90</v>
      </c>
      <c r="J26" s="279"/>
      <c r="K26" s="279"/>
      <c r="L26" s="279"/>
      <c r="M26" s="279"/>
    </row>
    <row r="27" spans="1:23" s="278" customFormat="1" hidden="1" x14ac:dyDescent="0.2">
      <c r="A27" s="287"/>
      <c r="J27" s="279"/>
      <c r="K27" s="279"/>
      <c r="L27" s="279"/>
      <c r="M27" s="279"/>
    </row>
    <row r="28" spans="1:23" s="278" customFormat="1" hidden="1" x14ac:dyDescent="0.2">
      <c r="A28" s="283" t="s">
        <v>91</v>
      </c>
      <c r="J28" s="279"/>
      <c r="K28" s="279"/>
      <c r="L28" s="279"/>
      <c r="M28" s="279"/>
    </row>
    <row r="29" spans="1:23" s="278" customFormat="1" hidden="1" x14ac:dyDescent="0.2">
      <c r="A29" s="282" t="s">
        <v>95</v>
      </c>
      <c r="J29" s="279"/>
      <c r="K29" s="279"/>
      <c r="L29" s="279"/>
      <c r="M29" s="279"/>
    </row>
    <row r="30" spans="1:23" s="278" customFormat="1" hidden="1" x14ac:dyDescent="0.2">
      <c r="A30" s="283" t="s">
        <v>96</v>
      </c>
      <c r="J30" s="279"/>
      <c r="K30" s="279"/>
      <c r="L30" s="279"/>
      <c r="M30" s="279"/>
    </row>
    <row r="31" spans="1:23" s="278" customFormat="1" x14ac:dyDescent="0.2">
      <c r="J31" s="279"/>
      <c r="K31" s="279"/>
      <c r="L31" s="279"/>
      <c r="M31" s="279"/>
    </row>
    <row r="32" spans="1:23" s="278" customFormat="1" x14ac:dyDescent="0.2">
      <c r="A32" s="283"/>
      <c r="J32" s="279"/>
      <c r="K32" s="279"/>
      <c r="L32" s="279"/>
      <c r="M32" s="279"/>
    </row>
    <row r="33" spans="1:14" s="278" customFormat="1" x14ac:dyDescent="0.2">
      <c r="J33" s="279"/>
      <c r="K33" s="279"/>
      <c r="L33" s="279"/>
      <c r="M33" s="279"/>
    </row>
    <row r="34" spans="1:14" s="278" customFormat="1" x14ac:dyDescent="0.2">
      <c r="J34" s="279"/>
      <c r="K34" s="279"/>
      <c r="L34" s="279"/>
      <c r="M34" s="279"/>
    </row>
    <row r="35" spans="1:14" s="278" customFormat="1" x14ac:dyDescent="0.2">
      <c r="N35" s="280"/>
    </row>
    <row r="37" spans="1:14" x14ac:dyDescent="0.2">
      <c r="E37" s="291" t="s">
        <v>3</v>
      </c>
    </row>
    <row r="38" spans="1:14" x14ac:dyDescent="0.2">
      <c r="A38" s="290"/>
    </row>
  </sheetData>
  <sheetProtection algorithmName="SHA-512" hashValue="PoesxtcSUdOgpvDarZ+rRMQdhX72ECkHhfYz7lgTDwxCgf1XQfVNZ66BSfpZpHPKFuMRmIb/5tNzIyP7df6i5Q==" saltValue="9GIe3AAcPBYhCcdjLIJMxw==" spinCount="100000" sheet="1" objects="1" scenarios="1"/>
  <mergeCells count="5">
    <mergeCell ref="S1:V1"/>
    <mergeCell ref="B1:E1"/>
    <mergeCell ref="F1:I1"/>
    <mergeCell ref="J1:M1"/>
    <mergeCell ref="N1:Q1"/>
  </mergeCells>
  <phoneticPr fontId="59" type="noConversion"/>
  <printOptions gridLines="1"/>
  <pageMargins left="0.75" right="0.75" top="1" bottom="1" header="0.5" footer="0.5"/>
  <pageSetup paperSize="5" scale="72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topLeftCell="A10" workbookViewId="0">
      <selection activeCell="D12" sqref="D12"/>
    </sheetView>
  </sheetViews>
  <sheetFormatPr defaultRowHeight="12.75" x14ac:dyDescent="0.2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>
      <selection activeCell="H18" sqref="H18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Summary</vt:lpstr>
      <vt:lpstr>Health Plans</vt:lpstr>
      <vt:lpstr>Joint Membership</vt:lpstr>
      <vt:lpstr>Salary Related</vt:lpstr>
      <vt:lpstr>Lookups</vt:lpstr>
      <vt:lpstr>Sheet1</vt:lpstr>
      <vt:lpstr>Sheet2</vt:lpstr>
      <vt:lpstr>'Salary Related'!Print_Area</vt:lpstr>
      <vt:lpstr>Summary!Print_Area</vt:lpstr>
      <vt:lpstr>rates</vt:lpstr>
    </vt:vector>
  </TitlesOfParts>
  <Company>Our House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keithann.newton@utoronto.ca</dc:creator>
  <cp:lastModifiedBy>Colleen Burke</cp:lastModifiedBy>
  <cp:lastPrinted>2018-07-06T15:14:54Z</cp:lastPrinted>
  <dcterms:created xsi:type="dcterms:W3CDTF">2000-09-11T01:47:23Z</dcterms:created>
  <dcterms:modified xsi:type="dcterms:W3CDTF">2020-07-08T15:36:27Z</dcterms:modified>
</cp:coreProperties>
</file>